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Arie\Documents\website files\Compliance\CMRT\"/>
    </mc:Choice>
  </mc:AlternateContent>
  <xr:revisionPtr revIDLastSave="0" documentId="8_{97BAE8A0-2574-4D4C-8699-77C17B5F5BA5}"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0730" windowHeight="110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C5"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J5" i="5"/>
  <c r="H5" i="5"/>
  <c r="G5" i="5"/>
  <c r="F5" i="5"/>
  <c r="R5" i="5"/>
  <c r="E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<sst xmlns="http://schemas.openxmlformats.org/spreadsheetml/2006/main" count="22520" uniqueCount="15884">
  <si>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</si>
  <si>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</si>
  <si>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</si>
  <si>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</si>
  <si>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</si>
  <si>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</si>
  <si>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</si>
  <si>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</si>
  <si>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</si>
  <si>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</si>
  <si>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</si>
  <si>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</si>
  <si>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</si>
  <si>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</si>
  <si>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</si>
  <si>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</si>
  <si>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</si>
  <si>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</si>
  <si>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</si>
  <si>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</si>
  <si>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</si>
  <si>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</si>
  <si>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</si>
  <si>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</si>
  <si>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</si>
  <si>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</si>
  <si>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</si>
  <si>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</si>
  <si>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</si>
  <si>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</si>
  <si>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</si>
  <si>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</si>
  <si>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</si>
  <si>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</si>
  <si>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</si>
  <si>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</si>
  <si>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</si>
  <si>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</si>
  <si>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</si>
  <si>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</si>
  <si>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</si>
  <si>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</si>
  <si>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</si>
  <si>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</si>
  <si>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</si>
  <si>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</si>
  <si>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</si>
  <si>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</si>
  <si>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</si>
  <si>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</si>
  <si>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</si>
  <si>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</si>
  <si>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</si>
  <si>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</si>
  <si>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</si>
  <si>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</si>
  <si>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</si>
  <si>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</si>
  <si>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</si>
  <si>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</si>
  <si>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</si>
  <si>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</si>
  <si>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</si>
  <si>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</si>
  <si>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</si>
  <si>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</si>
  <si>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</si>
  <si>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</si>
  <si>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</si>
  <si>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</si>
  <si>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</si>
  <si>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</si>
  <si>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</si>
  <si>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</si>
  <si>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</si>
  <si>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</si>
  <si>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</si>
  <si>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</si>
  <si>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</si>
  <si>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</si>
  <si>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</si>
  <si>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</si>
  <si>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</si>
  <si>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</si>
  <si>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</si>
  <si>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</si>
  <si>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</si>
  <si>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</si>
  <si>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</si>
  <si>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</si>
  <si>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</si>
  <si>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</si>
  <si>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</si>
  <si>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</si>
  <si>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</si>
  <si>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</si>
  <si>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</si>
  <si>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</si>
  <si>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</si>
  <si>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</si>
  <si>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</si>
  <si>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</si>
  <si>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</si>
  <si>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</si>
  <si>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</si>
  <si>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</si>
  <si>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</si>
  <si>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</si>
  <si>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</si>
  <si>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</si>
  <si>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</si>
  <si>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</si>
  <si>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</si>
  <si>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</si>
  <si>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</si>
  <si>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</si>
  <si>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</si>
  <si>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</si>
  <si>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</si>
  <si>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</si>
  <si>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</si>
  <si>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</si>
  <si>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</si>
  <si>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</si>
  <si>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</si>
  <si>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</si>
  <si>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</si>
  <si>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</si>
  <si>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</si>
  <si>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</si>
  <si>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</si>
  <si>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</si>
  <si>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</si>
  <si>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</si>
  <si>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</si>
  <si>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</si>
  <si>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</si>
  <si>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</si>
  <si>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</si>
  <si>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</si>
  <si>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</si>
  <si>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</si>
  <si>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</si>
  <si>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</si>
  <si>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</si>
  <si>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</si>
  <si>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</si>
  <si>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</si>
  <si>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</si>
  <si>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</si>
  <si>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</si>
  <si>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</si>
  <si>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</si>
  <si>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</si>
  <si>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</si>
  <si>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</si>
  <si>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</si>
  <si>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</si>
  <si>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</si>
  <si>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</si>
  <si>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</si>
  <si>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</si>
  <si>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</si>
  <si>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</si>
  <si>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</si>
  <si>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</si>
  <si>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</si>
  <si>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</si>
  <si>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</si>
  <si>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</si>
  <si>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</si>
  <si>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</si>
  <si>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</si>
  <si>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</si>
  <si>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</si>
  <si>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</si>
  <si>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</si>
  <si>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</si>
  <si>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</si>
  <si>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</si>
  <si>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</si>
  <si>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</si>
  <si>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</si>
  <si>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</si>
  <si>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</si>
  <si>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</si>
  <si>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</si>
  <si>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</si>
  <si>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</si>
  <si>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</si>
  <si>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</si>
  <si>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</si>
  <si>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</si>
  <si>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</si>
  <si>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</si>
  <si>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</si>
  <si>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</si>
  <si>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</si>
  <si>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</si>
  <si>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</si>
  <si>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</si>
  <si>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</si>
  <si>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</si>
  <si>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</si>
  <si>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</si>
  <si>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</si>
  <si>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</si>
  <si>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</si>
  <si>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</si>
  <si>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</si>
  <si>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</si>
  <si>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</si>
  <si>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</si>
  <si>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</si>
  <si>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</si>
  <si>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</si>
  <si>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</si>
  <si>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</si>
  <si>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</si>
  <si>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</si>
  <si>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</si>
  <si>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</si>
  <si>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</si>
  <si>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</si>
  <si>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</si>
  <si>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</si>
  <si>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</si>
  <si>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</si>
  <si>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</si>
  <si>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</si>
  <si>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</si>
  <si>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</si>
  <si>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</si>
  <si>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</si>
  <si>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</si>
  <si>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</si>
  <si>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</si>
  <si>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</si>
  <si>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</si>
  <si>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</si>
  <si>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</si>
  <si>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</si>
  <si>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</si>
  <si>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</si>
  <si>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</si>
  <si>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</si>
  <si>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</si>
  <si>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</si>
  <si>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</si>
  <si>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</si>
  <si>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</si>
  <si>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</si>
  <si>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</si>
  <si>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</si>
  <si>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</si>
  <si>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</si>
  <si>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</si>
  <si>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</si>
  <si>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</si>
  <si>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</si>
  <si>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</si>
  <si>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</si>
  <si>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</si>
  <si>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</si>
  <si>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</si>
  <si>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</si>
  <si>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</si>
  <si>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</si>
  <si>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</si>
  <si>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</si>
  <si>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</si>
  <si>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</si>
  <si>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</si>
  <si>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</si>
  <si>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</si>
  <si>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</si>
  <si>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</si>
  <si>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</si>
  <si>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</si>
  <si>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</si>
  <si>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</si>
  <si>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</si>
  <si>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</si>
  <si>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</si>
  <si>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</si>
  <si>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</si>
  <si>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</si>
  <si>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</si>
  <si>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</si>
  <si>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</si>
  <si>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</si>
  <si>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</si>
  <si>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</si>
  <si>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</si>
  <si>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</si>
  <si>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</si>
  <si>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</si>
  <si>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</si>
  <si>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</si>
  <si>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</si>
  <si>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</si>
  <si>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</si>
  <si>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</si>
  <si>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</si>
  <si>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</si>
  <si>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</si>
  <si>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</si>
  <si>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</si>
  <si>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</si>
  <si>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</si>
  <si>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</si>
  <si>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</si>
  <si>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</si>
  <si>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</si>
  <si>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</si>
  <si>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</si>
  <si>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</si>
  <si>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</si>
  <si>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</si>
  <si>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</si>
  <si>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</si>
  <si>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</si>
  <si>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</si>
  <si>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</si>
  <si>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</si>
  <si>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</si>
  <si>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</si>
  <si>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</si>
  <si>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</si>
  <si>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</si>
  <si>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</si>
  <si>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</si>
  <si>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</si>
  <si>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</si>
  <si>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</si>
  <si>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</si>
  <si>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</si>
  <si>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</si>
  <si>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</si>
  <si>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</si>
  <si>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</si>
  <si>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</si>
  <si>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</si>
  <si>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</si>
  <si>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</si>
  <si>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</si>
  <si>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</si>
  <si>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</si>
  <si>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</si>
  <si>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</si>
  <si>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</si>
  <si>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</si>
  <si>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</si>
  <si>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</si>
  <si>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</si>
  <si>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</si>
  <si>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</si>
  <si>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</si>
  <si>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</si>
  <si>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</si>
  <si>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</si>
  <si>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</si>
  <si>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</si>
  <si>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</si>
  <si>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</si>
  <si>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</si>
  <si>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</si>
  <si>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</si>
  <si>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</si>
  <si>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</si>
  <si>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</si>
  <si>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</si>
  <si>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</si>
  <si>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</si>
  <si>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</si>
  <si>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</si>
  <si>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</si>
  <si>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</si>
  <si>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</si>
  <si>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</si>
  <si>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</si>
  <si>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</si>
  <si>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</si>
  <si>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</si>
  <si>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</si>
  <si>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</si>
  <si>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</si>
  <si>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</si>
  <si>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</si>
  <si>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</si>
  <si>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</si>
  <si>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</si>
  <si>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</si>
  <si>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</si>
  <si>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</si>
  <si>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</si>
  <si>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</si>
  <si>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</si>
  <si>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</si>
  <si>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</si>
  <si>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</si>
  <si>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</si>
  <si>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</si>
  <si>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</si>
  <si>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</si>
  <si>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</si>
  <si>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</si>
  <si>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</si>
  <si>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</si>
  <si>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</si>
  <si>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</si>
  <si>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</si>
  <si>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</si>
  <si>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</si>
  <si>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</si>
  <si>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</si>
  <si>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</si>
  <si>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</si>
  <si>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</si>
  <si>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</si>
  <si>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</si>
  <si>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</si>
  <si>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</si>
  <si>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</si>
  <si>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</si>
  <si>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</si>
  <si>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</si>
  <si>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</si>
  <si>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</si>
  <si>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</si>
  <si>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</si>
  <si>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</si>
  <si>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</si>
  <si>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</si>
  <si>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</si>
  <si>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</si>
  <si>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</si>
  <si>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</si>
  <si>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</si>
  <si>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</si>
  <si>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</si>
  <si>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</si>
  <si>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</si>
  <si>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</si>
  <si>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</si>
  <si>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</si>
  <si>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</si>
  <si>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</si>
  <si>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</si>
  <si>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</si>
  <si>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</si>
  <si>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</si>
  <si>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</si>
  <si>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</si>
  <si>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</si>
  <si>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</si>
  <si>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</si>
  <si>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</si>
  <si>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</si>
  <si>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</si>
  <si>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</si>
  <si>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</si>
  <si>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</si>
  <si>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</si>
  <si>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</si>
  <si>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</si>
  <si>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</si>
  <si>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</si>
  <si>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</si>
  <si>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</si>
  <si>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</si>
  <si>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</si>
  <si>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</si>
  <si>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</si>
  <si>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</si>
  <si>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</si>
  <si>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</si>
  <si>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</si>
  <si>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</si>
  <si>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</si>
  <si>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</si>
  <si>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</si>
  <si>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</si>
  <si>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</si>
  <si>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</si>
  <si>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</si>
  <si>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</si>
  <si>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</si>
  <si>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</si>
  <si>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</si>
  <si>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</si>
  <si>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</si>
  <si>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</si>
  <si>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</si>
  <si>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</si>
  <si>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</si>
  <si>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</si>
  <si>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</si>
  <si>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</si>
  <si>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</si>
  <si>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</si>
  <si>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</si>
  <si>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</si>
  <si>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</si>
  <si>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</si>
  <si>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</si>
  <si>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</si>
  <si>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</si>
  <si>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</si>
  <si>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</si>
  <si>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</si>
  <si>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</si>
  <si>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</si>
  <si>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</si>
  <si>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</si>
  <si>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</si>
  <si>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</si>
  <si>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</si>
  <si>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</si>
  <si>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</si>
  <si>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</si>
  <si>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</si>
  <si>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</si>
  <si>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</si>
  <si>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</si>
  <si>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</si>
  <si>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</si>
  <si>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</si>
  <si>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</si>
  <si>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</si>
  <si>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</si>
  <si>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</si>
  <si>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</si>
  <si>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</si>
  <si>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</si>
  <si>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</si>
  <si>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</si>
  <si>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</si>
  <si>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</si>
  <si>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</si>
  <si>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</si>
  <si>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</si>
  <si>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</si>
  <si>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</si>
  <si>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</si>
  <si>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</si>
  <si>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</si>
  <si>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</si>
  <si>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</si>
  <si>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</si>
  <si>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</si>
  <si>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</si>
  <si>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</si>
  <si>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</si>
  <si>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</si>
  <si>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</si>
  <si>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</si>
  <si>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</si>
  <si>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</si>
  <si>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</si>
  <si>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</si>
  <si>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</si>
  <si>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</si>
  <si>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</si>
  <si>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</si>
  <si>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</si>
  <si>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</si>
  <si>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</si>
  <si>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</si>
  <si>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</si>
  <si>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</si>
  <si>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</si>
  <si>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</si>
  <si>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</si>
  <si>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</si>
  <si>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</si>
  <si>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</si>
  <si>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</si>
  <si>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</si>
  <si>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</si>
  <si>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</si>
  <si>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</si>
  <si>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</si>
  <si>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</si>
  <si>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</si>
  <si>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</si>
  <si>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</si>
  <si>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</si>
  <si>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</si>
  <si>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</si>
  <si>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</si>
  <si>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</si>
  <si>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</si>
  <si>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</si>
  <si>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</si>
  <si>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</si>
  <si>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</si>
  <si>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</si>
  <si>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</si>
  <si>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</si>
  <si>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</si>
  <si>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</si>
  <si>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</si>
  <si>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</si>
  <si>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</si>
  <si>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</si>
  <si>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</si>
  <si>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</si>
  <si>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</si>
  <si>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</si>
  <si>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</si>
  <si>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</si>
  <si>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</si>
  <si>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</si>
  <si>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</si>
  <si>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</si>
  <si>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</si>
  <si>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</si>
  <si>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</si>
  <si>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</si>
  <si>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</si>
  <si>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</si>
  <si>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</si>
  <si>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</si>
  <si>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</si>
  <si>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</si>
  <si>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</si>
  <si>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</si>
  <si>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</si>
  <si>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</si>
  <si>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</si>
  <si>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</si>
  <si>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</si>
  <si>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</si>
  <si>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</si>
  <si>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</si>
  <si>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</si>
  <si>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</si>
  <si>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</si>
  <si>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</si>
  <si>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</si>
  <si>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</si>
  <si>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</si>
  <si>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</si>
  <si>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</si>
  <si>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</si>
  <si>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</si>
  <si>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</si>
  <si>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</si>
  <si>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</si>
  <si>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</si>
  <si>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</si>
  <si>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</si>
  <si>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</si>
  <si>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</si>
  <si>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</si>
  <si>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</si>
  <si>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</si>
  <si>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</si>
  <si>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</si>
  <si>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</si>
  <si>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</si>
  <si>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</si>
  <si>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</si>
  <si>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</si>
  <si>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</si>
  <si>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</si>
  <si>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</si>
  <si>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</si>
  <si>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</si>
  <si>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</si>
  <si>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</si>
  <si>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</si>
  <si>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</si>
  <si>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</si>
  <si>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</si>
  <si>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</si>
  <si>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</si>
  <si>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</si>
  <si>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</si>
  <si>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</si>
  <si>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</si>
  <si>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</si>
  <si>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</si>
  <si>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</si>
  <si>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</si>
  <si>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</si>
  <si>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</si>
  <si>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</si>
  <si>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</si>
  <si>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</si>
  <si>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</si>
  <si>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</si>
  <si>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</si>
  <si>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</si>
  <si>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</si>
  <si>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</si>
  <si>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</si>
  <si>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</si>
  <si>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</si>
  <si>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</si>
  <si>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</si>
  <si>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</si>
  <si>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</si>
  <si>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</si>
  <si>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</si>
  <si>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</si>
  <si>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</si>
  <si>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</si>
  <si>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</si>
  <si>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</si>
  <si>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</si>
  <si>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</si>
  <si>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</si>
  <si>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</si>
  <si>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</si>
  <si>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</si>
  <si>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</si>
  <si>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</si>
  <si>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</si>
  <si>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</si>
  <si>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</si>
  <si>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</si>
  <si>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</si>
  <si>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</si>
  <si>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</si>
  <si>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</si>
  <si>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</si>
  <si>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</si>
  <si>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</si>
  <si>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</si>
  <si>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</si>
  <si>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</si>
  <si>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</si>
  <si>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</si>
  <si>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</si>
  <si>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</si>
  <si>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</si>
  <si>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</si>
  <si>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</si>
  <si>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</si>
  <si>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</si>
  <si>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</si>
  <si>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</si>
  <si>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</si>
  <si>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</si>
  <si>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</si>
  <si>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</si>
  <si>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</si>
  <si>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</si>
  <si>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</si>
  <si>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</si>
  <si>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</si>
  <si>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</si>
  <si>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</si>
  <si>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</si>
  <si>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</si>
  <si>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</si>
  <si>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</si>
  <si>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</si>
  <si>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</si>
  <si>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</si>
  <si>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</si>
  <si>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</si>
  <si>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</si>
  <si>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</si>
  <si>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</si>
  <si>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</si>
  <si>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</si>
  <si>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</si>
  <si>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</si>
  <si>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</si>
  <si>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</si>
  <si>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</si>
  <si>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</si>
  <si>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</si>
  <si>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</si>
  <si>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</si>
  <si>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</si>
  <si>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</si>
  <si>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</si>
  <si>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</si>
  <si>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</si>
  <si>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</si>
  <si>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</si>
  <si>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</si>
  <si>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</si>
  <si>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</si>
  <si>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</si>
  <si>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</si>
  <si>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</si>
  <si>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</si>
  <si>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</si>
  <si>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</si>
  <si>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</si>
  <si>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</si>
  <si>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</si>
  <si>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</si>
  <si>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</si>
  <si>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</si>
  <si>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</si>
  <si>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</si>
  <si>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</si>
  <si>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</si>
  <si>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</si>
  <si>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</si>
  <si>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</si>
  <si>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</si>
  <si>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</si>
  <si>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</si>
  <si>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</si>
  <si>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</si>
  <si>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</si>
  <si>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</si>
  <si>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</si>
  <si>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</si>
  <si>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</si>
  <si>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</si>
  <si>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</si>
  <si>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</si>
  <si>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</si>
  <si>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</si>
  <si>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</si>
  <si>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</si>
  <si>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</si>
  <si>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</si>
  <si>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</si>
  <si>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</si>
  <si>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</si>
  <si>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</si>
  <si>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</si>
  <si>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</si>
  <si>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</si>
  <si>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</si>
  <si>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</si>
  <si>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</si>
  <si>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</si>
  <si>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</si>
  <si>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</si>
  <si>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</si>
  <si>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</si>
  <si>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</si>
  <si>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</si>
  <si>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</si>
  <si>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</si>
  <si>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</si>
  <si>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</si>
  <si>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</si>
  <si>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</si>
  <si>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</si>
  <si>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</si>
  <si>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</si>
  <si>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</si>
  <si>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</si>
  <si>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</si>
  <si>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</si>
  <si>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</si>
  <si>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</si>
  <si>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</si>
  <si>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</si>
  <si>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</si>
  <si>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</si>
  <si>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</si>
  <si>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</si>
  <si>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</si>
  <si>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</si>
  <si>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</si>
  <si>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</si>
  <si>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</si>
  <si>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</si>
  <si>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</si>
  <si>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</si>
  <si>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</si>
  <si>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</si>
  <si>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</si>
  <si>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</si>
  <si>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</si>
  <si>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</si>
  <si>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</si>
  <si>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</si>
  <si>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</si>
  <si>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</si>
  <si>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</si>
  <si>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</si>
  <si>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</si>
  <si>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</si>
  <si>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</si>
  <si>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</si>
  <si>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</si>
  <si>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</si>
  <si>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</si>
  <si>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</si>
  <si>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</si>
  <si>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</si>
  <si>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</si>
  <si>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</si>
  <si>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</si>
  <si>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</si>
  <si>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</si>
  <si>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</si>
  <si>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</si>
  <si>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</si>
  <si>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</si>
  <si>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</si>
  <si>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</si>
  <si>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</si>
  <si>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</si>
  <si>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</si>
  <si>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</si>
  <si>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</si>
  <si>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</si>
  <si>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</si>
  <si>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</si>
  <si>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</si>
  <si>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</si>
  <si>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</si>
  <si>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</si>
  <si>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</si>
  <si>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</si>
  <si>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</si>
  <si>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</si>
  <si>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</si>
  <si>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</si>
  <si>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</si>
  <si>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</si>
  <si>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</si>
  <si>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</si>
  <si>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</si>
  <si>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</si>
  <si>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</si>
  <si>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</si>
  <si>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</si>
  <si>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</si>
  <si>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</si>
  <si>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</si>
  <si>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</si>
  <si>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</si>
  <si>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</si>
  <si>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</si>
  <si>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</si>
  <si>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</si>
  <si>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</si>
  <si>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</si>
  <si>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</si>
  <si>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</si>
  <si>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</si>
  <si>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</si>
  <si>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</si>
  <si>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</si>
  <si>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</si>
  <si>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</si>
  <si>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</si>
  <si>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</si>
  <si>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</si>
  <si>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</si>
  <si>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</si>
  <si>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</si>
  <si>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</si>
  <si>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</si>
  <si>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</si>
  <si>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</si>
  <si>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</si>
  <si>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</si>
  <si>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</si>
  <si>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</si>
  <si>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</si>
  <si>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</si>
  <si>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</si>
  <si>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</si>
  <si>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</si>
  <si>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</si>
  <si>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</si>
  <si>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</si>
  <si>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</si>
  <si>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</si>
  <si>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</si>
  <si>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</si>
  <si>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</si>
  <si>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</si>
  <si>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</si>
  <si>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</si>
  <si>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</si>
  <si>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</si>
  <si>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</si>
  <si>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</si>
  <si>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</si>
  <si>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</si>
  <si>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</si>
  <si>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</si>
  <si>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</si>
  <si>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</si>
  <si>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</si>
  <si>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</si>
  <si>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</si>
  <si>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</si>
  <si>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</si>
  <si>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</si>
  <si>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</si>
  <si>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</si>
  <si>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</si>
  <si>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</si>
  <si>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</si>
  <si>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</si>
  <si>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</si>
  <si>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</si>
  <si>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</si>
  <si>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</si>
  <si>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</si>
  <si>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</si>
  <si>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</si>
  <si>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</si>
  <si>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</si>
  <si>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</si>
  <si>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</si>
  <si>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</si>
  <si>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</si>
  <si>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</si>
  <si>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</si>
  <si>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</si>
  <si>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</si>
  <si>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</si>
  <si>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</si>
  <si>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</si>
  <si>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</si>
  <si>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</si>
  <si>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</si>
  <si>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</si>
  <si>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</si>
  <si>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</si>
  <si>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</si>
  <si>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</si>
  <si>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</si>
  <si>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</si>
  <si>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</si>
  <si>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</si>
  <si>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</si>
  <si>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</si>
  <si>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</si>
  <si>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</si>
  <si>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</si>
  <si>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</si>
  <si>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</si>
  <si>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</si>
  <si>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</si>
  <si>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</si>
  <si>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</si>
  <si>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</si>
  <si>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</si>
  <si>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</si>
  <si>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</si>
  <si>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</si>
  <si>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</si>
  <si>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</si>
  <si>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</si>
  <si>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</si>
  <si>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</si>
  <si>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</si>
  <si>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</si>
  <si>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</si>
  <si>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</si>
  <si>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</si>
  <si>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</si>
  <si>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</si>
  <si>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</si>
  <si>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</si>
  <si>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</si>
  <si>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</si>
  <si>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</si>
  <si>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</si>
  <si>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</si>
  <si>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</si>
  <si>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</si>
  <si>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</si>
  <si>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</si>
  <si>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</si>
  <si>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</si>
  <si>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</si>
  <si>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</si>
  <si>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</si>
  <si>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</si>
  <si>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</si>
  <si>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</si>
  <si>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</si>
  <si>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</si>
  <si>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</si>
  <si>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</si>
  <si>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</si>
  <si>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</si>
  <si>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</si>
  <si>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</si>
  <si>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</si>
  <si>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</si>
  <si>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</si>
  <si>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</si>
  <si>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</si>
  <si>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</si>
  <si>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</si>
  <si>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</si>
  <si>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</si>
  <si>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</si>
  <si>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</si>
  <si>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</si>
  <si>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</si>
  <si>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</si>
  <si>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</si>
  <si>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</si>
  <si>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</si>
  <si>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</si>
  <si>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</si>
  <si>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</si>
  <si>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</si>
  <si>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</si>
  <si>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</si>
  <si>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</si>
  <si>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</si>
  <si>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</si>
  <si>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</si>
  <si>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</si>
  <si>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</si>
  <si>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</si>
  <si>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</si>
  <si>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</si>
  <si>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</si>
  <si>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</si>
  <si>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</si>
  <si>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</si>
  <si>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</si>
  <si>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</si>
  <si>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</si>
  <si>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</si>
  <si>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</si>
  <si>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</si>
  <si>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</si>
  <si>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</si>
  <si>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</si>
  <si>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</si>
  <si>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</si>
  <si>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</si>
  <si>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</si>
  <si>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</si>
  <si>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</si>
  <si>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</si>
  <si>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</si>
  <si>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</si>
  <si>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</si>
  <si>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</si>
  <si>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</si>
  <si>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</si>
  <si>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</si>
  <si>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</si>
  <si>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</si>
  <si>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</si>
  <si>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</si>
  <si>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</si>
  <si>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</si>
  <si>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</si>
  <si>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</si>
  <si>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</si>
  <si>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</si>
  <si>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</si>
  <si>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</si>
  <si>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</si>
  <si>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</si>
  <si>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</si>
  <si>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</si>
  <si>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</si>
  <si>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</si>
  <si>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</si>
  <si>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</si>
  <si>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</si>
  <si>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</si>
  <si>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</si>
  <si>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</si>
  <si>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</si>
  <si>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</si>
  <si>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</si>
  <si>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</si>
  <si>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</si>
  <si>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</si>
  <si>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</si>
  <si>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</si>
  <si>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</si>
  <si>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</si>
  <si>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</si>
  <si>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</si>
  <si>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</si>
  <si>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</si>
  <si>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</si>
  <si>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</si>
  <si>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</si>
  <si>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</si>
  <si>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</si>
  <si>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</si>
  <si>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</si>
  <si>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</si>
  <si>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</si>
  <si>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</si>
  <si>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</si>
  <si>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</si>
  <si>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</si>
  <si>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</si>
  <si>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</si>
  <si>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</si>
  <si>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</si>
  <si>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</si>
  <si>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</si>
  <si>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</si>
  <si>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</si>
  <si>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</si>
  <si>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</si>
  <si>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</si>
  <si>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</si>
  <si>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</si>
  <si>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</si>
  <si>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</si>
  <si>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</si>
  <si>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</si>
  <si>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</si>
  <si>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</si>
  <si>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</si>
  <si>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</si>
  <si>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</si>
  <si>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</si>
  <si>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</si>
  <si>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</si>
  <si>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</si>
  <si>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</si>
  <si>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</si>
  <si>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</si>
  <si>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</si>
  <si>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</si>
  <si>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</si>
  <si>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</si>
  <si>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</si>
  <si>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</si>
  <si>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</si>
  <si>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</si>
  <si>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</si>
  <si>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</si>
  <si>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</si>
  <si>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</si>
  <si>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</si>
  <si>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</si>
  <si>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</si>
  <si>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</si>
  <si>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</si>
  <si>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</si>
  <si>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</si>
  <si>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</si>
  <si>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</si>
  <si>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</si>
  <si>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</si>
  <si>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</si>
  <si>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</si>
  <si>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</si>
  <si>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</si>
  <si>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</si>
  <si>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</si>
  <si>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</si>
  <si>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</si>
  <si>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</si>
  <si>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</si>
  <si>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</si>
  <si>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</si>
  <si>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</si>
  <si>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</si>
  <si>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</si>
  <si>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</si>
  <si>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</si>
  <si>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</si>
  <si>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</si>
  <si>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</si>
  <si>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</si>
  <si>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</si>
  <si>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</si>
  <si>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</si>
  <si>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</si>
  <si>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</si>
  <si>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</si>
  <si>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</si>
  <si>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</si>
  <si>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</si>
  <si>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</si>
  <si>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</si>
  <si>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</si>
  <si>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</si>
  <si>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</si>
  <si>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</si>
  <si>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</si>
  <si>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</si>
  <si>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</si>
  <si>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</si>
  <si>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</si>
  <si>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</si>
  <si>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</si>
  <si>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</si>
  <si>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</si>
  <si>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</si>
  <si>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</si>
  <si>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</si>
  <si>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</si>
  <si>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</si>
  <si>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</si>
  <si>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</si>
  <si>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</si>
  <si>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</si>
  <si>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</si>
  <si>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</si>
  <si>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</si>
  <si>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</si>
  <si>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</si>
  <si>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</si>
  <si>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</si>
  <si>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</si>
  <si>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</si>
  <si>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</si>
  <si>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</si>
  <si>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</si>
  <si>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</si>
  <si>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</si>
  <si>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</si>
  <si>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</si>
  <si>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</si>
  <si>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</si>
  <si>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</si>
  <si>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</si>
  <si>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</si>
  <si>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</si>
  <si>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</si>
  <si>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</si>
  <si>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</si>
  <si>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</si>
  <si>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</si>
  <si>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</si>
  <si>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</si>
  <si>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</si>
  <si>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</si>
  <si>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</si>
  <si>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</si>
  <si>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</si>
  <si>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</si>
  <si>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</si>
  <si>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</si>
  <si>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</si>
  <si>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</si>
  <si>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</si>
  <si>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</si>
  <si>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</si>
  <si>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</si>
  <si>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</si>
  <si>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</si>
  <si>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</si>
  <si>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</si>
  <si>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</si>
  <si>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</si>
  <si>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</si>
  <si>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</si>
  <si>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</si>
  <si>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</si>
  <si>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</si>
  <si>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</si>
  <si>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</si>
  <si>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</si>
  <si>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</si>
  <si>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</si>
  <si>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</si>
  <si>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</si>
  <si>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</si>
  <si>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</si>
  <si>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</si>
  <si>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</si>
  <si>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</si>
  <si>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</si>
  <si>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</si>
  <si>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</si>
  <si>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</si>
  <si>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</si>
  <si>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</si>
  <si>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</si>
  <si>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</si>
  <si>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</si>
  <si>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</si>
  <si>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</si>
  <si>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</si>
  <si>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</si>
  <si>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</si>
  <si>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</si>
  <si>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</si>
  <si>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</si>
  <si>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</si>
  <si>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</si>
  <si>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</si>
  <si>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</si>
  <si>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</si>
  <si>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</si>
  <si>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</si>
  <si>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</si>
  <si>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</si>
  <si>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</si>
  <si>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</si>
  <si>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</si>
  <si>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</si>
  <si>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</si>
  <si>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</si>
  <si>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</si>
  <si>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</si>
  <si>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</si>
  <si>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</si>
  <si>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</si>
  <si>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</si>
  <si>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</si>
  <si>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</si>
  <si>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</si>
  <si>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</si>
  <si>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</si>
  <si>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</si>
  <si>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</si>
  <si>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</si>
  <si>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</si>
  <si>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</si>
  <si>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</si>
  <si>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</si>
  <si>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</si>
  <si>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</si>
  <si>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</si>
  <si>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</si>
  <si>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</si>
  <si>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</si>
  <si>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</si>
  <si>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</si>
  <si>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</si>
  <si>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</si>
  <si>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</si>
  <si>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</si>
  <si>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</si>
  <si>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</si>
  <si>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</si>
  <si>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</si>
  <si>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</si>
  <si>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</si>
  <si>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</si>
  <si>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</si>
  <si>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</si>
  <si>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</si>
  <si>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</si>
  <si>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</si>
  <si>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</si>
  <si>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</si>
  <si>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</si>
  <si>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</si>
  <si>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</si>
  <si>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</si>
  <si>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</si>
  <si>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</si>
  <si>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</si>
  <si>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</si>
  <si>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</si>
  <si>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</si>
  <si>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</si>
  <si>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</si>
  <si>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</si>
  <si>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</si>
  <si>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</si>
  <si>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</si>
  <si>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</si>
  <si>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</si>
  <si>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</si>
  <si>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</si>
  <si>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</si>
  <si>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</si>
  <si>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</si>
  <si>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</si>
  <si>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</si>
  <si>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</si>
  <si>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</si>
  <si>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</si>
  <si>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</si>
  <si>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</si>
  <si>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</si>
  <si>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</si>
  <si>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</si>
  <si>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</si>
  <si>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</si>
  <si>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</si>
  <si>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</si>
  <si>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</si>
  <si>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</si>
  <si>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</si>
  <si>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</si>
  <si>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</si>
  <si>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</si>
  <si>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</si>
  <si>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</si>
  <si>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</si>
  <si>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</si>
  <si>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</si>
  <si>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</si>
  <si>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</si>
  <si>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</si>
  <si>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</si>
  <si>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</si>
  <si>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</si>
  <si>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</si>
  <si>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</si>
  <si>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</si>
  <si>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</si>
  <si>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</si>
  <si>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</si>
  <si>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</si>
  <si>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</si>
  <si>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</si>
  <si>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</si>
  <si>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</si>
  <si>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</si>
  <si>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</si>
  <si>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</si>
  <si>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</si>
  <si>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</si>
  <si>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</si>
  <si>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</si>
  <si>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</si>
  <si>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</si>
  <si>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</si>
  <si>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</si>
  <si>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</si>
  <si>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</si>
  <si>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</si>
  <si>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</si>
  <si>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</si>
  <si>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</si>
  <si>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</si>
  <si>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</si>
  <si>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</si>
  <si>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</si>
  <si>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</si>
  <si>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</si>
  <si>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</si>
  <si>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</si>
  <si>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</si>
  <si>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</si>
  <si>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</si>
  <si>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</si>
  <si>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</si>
  <si>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</si>
  <si>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</si>
  <si>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</si>
  <si>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</si>
  <si>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</si>
  <si>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</si>
  <si>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</si>
  <si>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</si>
  <si>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</si>
  <si>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</si>
  <si>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</si>
  <si>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</si>
  <si>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</si>
  <si>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</si>
  <si>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</si>
  <si>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</si>
  <si>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</si>
  <si>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</si>
  <si>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</si>
  <si>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</si>
  <si>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</si>
  <si>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</si>
  <si>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</si>
  <si>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</si>
  <si>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</si>
  <si>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</si>
  <si>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</si>
  <si>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</si>
  <si>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</si>
  <si>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</si>
  <si>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</si>
  <si>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</si>
  <si>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</si>
  <si>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</si>
  <si>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</si>
  <si>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</si>
  <si>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</si>
  <si>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</si>
  <si>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</si>
  <si>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</si>
  <si>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</si>
  <si>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</si>
  <si>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</si>
  <si>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</si>
  <si>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</si>
  <si>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</si>
  <si>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</si>
  <si>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</si>
  <si>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</si>
  <si>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</si>
  <si>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</si>
  <si>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</si>
  <si>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</si>
  <si>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</si>
  <si>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</si>
  <si>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</si>
  <si>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</si>
  <si>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</si>
  <si>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</si>
  <si>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</si>
  <si>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</si>
  <si>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</si>
  <si>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</si>
  <si>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</si>
  <si>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</si>
  <si>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</si>
  <si>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</si>
  <si>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</si>
  <si>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</si>
  <si>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</si>
  <si>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</si>
  <si>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</si>
  <si>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</si>
  <si>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</si>
  <si>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</si>
  <si>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</si>
  <si>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</si>
  <si>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</si>
  <si>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</si>
  <si>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</si>
  <si>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</si>
  <si>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</si>
  <si>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</si>
  <si>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</si>
  <si>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</si>
  <si>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</si>
  <si>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</si>
  <si>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</si>
  <si>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</si>
  <si>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</si>
  <si>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</si>
  <si>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</si>
  <si>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</si>
  <si>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</si>
  <si>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</si>
  <si>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</si>
  <si>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</si>
  <si>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</si>
  <si>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</si>
  <si>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</si>
  <si>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</si>
  <si>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</si>
  <si>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</si>
  <si>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</si>
  <si>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</si>
  <si>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</si>
  <si>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</si>
  <si>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</si>
  <si>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</si>
  <si>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</si>
  <si>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</si>
  <si>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</si>
  <si>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</si>
  <si>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</si>
  <si>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</si>
  <si>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</si>
  <si>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</si>
  <si>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</si>
  <si>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</si>
  <si>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</si>
  <si>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</si>
  <si>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</si>
  <si>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</si>
  <si>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</si>
  <si>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</si>
  <si>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</si>
  <si>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</si>
  <si>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</si>
  <si>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</si>
  <si>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</si>
  <si>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</si>
  <si>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</si>
  <si>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</si>
  <si>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</si>
  <si>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</si>
  <si>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</si>
  <si>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</si>
  <si>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</si>
  <si>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</si>
  <si>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</si>
  <si>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</si>
  <si>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</si>
  <si>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</si>
  <si>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</si>
  <si>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</si>
  <si>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</si>
  <si>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</si>
  <si>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</si>
  <si>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</si>
  <si>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</si>
  <si>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</si>
  <si>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</si>
  <si>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</si>
  <si>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</si>
  <si>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</si>
  <si>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</si>
  <si>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</si>
  <si>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</si>
  <si>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</si>
  <si>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</si>
  <si>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</si>
  <si>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</si>
  <si>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</si>
  <si>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</si>
  <si>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</si>
  <si>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</si>
  <si>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</si>
  <si>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</si>
  <si>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</si>
  <si>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</si>
  <si>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</si>
  <si>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</si>
  <si>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</si>
  <si>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</si>
  <si>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</si>
  <si>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</si>
  <si>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</si>
  <si>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</si>
  <si>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</si>
  <si>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</si>
  <si>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</si>
  <si>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</si>
  <si>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</si>
  <si>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</si>
  <si>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</si>
  <si>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</si>
  <si>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</si>
  <si>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</si>
  <si>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</si>
  <si>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</si>
  <si>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</si>
  <si>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</si>
  <si>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</si>
  <si>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</si>
  <si>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</si>
  <si>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</si>
  <si>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</si>
  <si>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</si>
  <si>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</si>
  <si>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</si>
  <si>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</si>
  <si>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</si>
  <si>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</si>
  <si>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</si>
  <si>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</si>
  <si>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</si>
  <si>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</si>
  <si>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</si>
  <si>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</si>
  <si>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</si>
  <si>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</si>
  <si>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</si>
  <si>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</si>
  <si>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</si>
  <si>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</si>
  <si>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</si>
  <si>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</si>
  <si>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</si>
  <si>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</si>
  <si>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</si>
  <si>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</si>
  <si>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</si>
  <si>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</si>
  <si>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</si>
  <si>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</si>
  <si>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</si>
  <si>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</si>
  <si>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</si>
  <si>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</si>
  <si>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</si>
  <si>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</si>
  <si>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</si>
  <si>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</si>
  <si>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</si>
  <si>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</si>
  <si>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</si>
  <si>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</si>
  <si>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</si>
  <si>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</si>
  <si>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</si>
  <si>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</si>
  <si>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</si>
  <si>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</si>
  <si>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</si>
  <si>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</si>
  <si>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</si>
  <si>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</si>
  <si>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</si>
  <si>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</si>
  <si>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</si>
  <si>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</si>
  <si>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</si>
  <si>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</si>
  <si>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</si>
  <si>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</si>
  <si>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</si>
  <si>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</si>
  <si>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</si>
  <si>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</si>
  <si>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</si>
  <si>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</si>
  <si>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</si>
  <si>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</si>
  <si>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</si>
  <si>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</si>
  <si>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</si>
  <si>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</si>
  <si>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</si>
  <si>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</si>
  <si>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</si>
  <si>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</si>
  <si>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</si>
  <si>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</si>
  <si>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</si>
  <si>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</si>
  <si>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</si>
  <si>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</si>
  <si>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</si>
  <si>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</si>
  <si>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</si>
  <si>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</si>
  <si>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</si>
  <si>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</si>
  <si>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</si>
  <si>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</si>
  <si>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</si>
  <si>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</si>
  <si>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</si>
  <si>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</si>
  <si>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</si>
  <si>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</si>
  <si>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</si>
  <si>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</si>
  <si>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</si>
  <si>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</si>
  <si>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</si>
  <si>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</si>
  <si>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</si>
  <si>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</si>
  <si>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</si>
  <si>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</si>
  <si>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</si>
  <si>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</si>
  <si>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</si>
  <si>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</si>
  <si>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</si>
  <si>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</si>
  <si>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</si>
  <si>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</si>
  <si>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</si>
  <si>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</si>
  <si>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</si>
  <si>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</si>
  <si>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</si>
  <si>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</si>
  <si>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</si>
  <si>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</si>
  <si>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</si>
  <si>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</si>
  <si>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</si>
  <si>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</si>
  <si>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</si>
  <si>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</si>
  <si>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</si>
  <si>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</si>
  <si>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</si>
  <si>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</si>
  <si>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</si>
  <si>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</si>
  <si>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</si>
  <si>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</si>
  <si>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</si>
  <si>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</si>
  <si>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</si>
  <si>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</si>
  <si>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</si>
  <si>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</si>
  <si>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</si>
  <si>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</si>
  <si>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</si>
  <si>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</si>
  <si>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</si>
  <si>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</si>
  <si>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</si>
  <si>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</si>
  <si>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</si>
  <si>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</si>
  <si>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</si>
  <si>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</si>
  <si>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</si>
  <si>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</si>
  <si>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</si>
  <si>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</si>
  <si>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</si>
  <si>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</si>
  <si>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</si>
  <si>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</si>
  <si>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</si>
  <si>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</si>
  <si>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</si>
  <si>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</si>
  <si>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</si>
  <si>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</si>
  <si>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</si>
  <si>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</si>
  <si>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</si>
  <si>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</si>
  <si>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</si>
  <si>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</si>
  <si>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</si>
  <si>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</si>
  <si>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</si>
  <si>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</si>
  <si>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</si>
  <si>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</si>
  <si>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</si>
  <si>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</si>
  <si>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</si>
  <si>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</si>
  <si>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</si>
  <si>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</si>
  <si>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</si>
  <si>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</si>
  <si>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</si>
  <si>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</si>
  <si>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</si>
  <si>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</si>
  <si>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</si>
  <si>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</si>
  <si>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</si>
  <si>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</si>
  <si>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</si>
  <si>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</si>
  <si>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</si>
  <si>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</si>
  <si>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</si>
  <si>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</si>
  <si>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</si>
  <si>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</si>
  <si>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</si>
  <si>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</si>
  <si>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</si>
  <si>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</si>
  <si>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</si>
  <si>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</si>
  <si>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</si>
  <si>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</si>
  <si>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</si>
  <si>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</si>
  <si>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</si>
  <si>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</si>
  <si>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</si>
  <si>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</si>
  <si>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</si>
  <si>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</si>
  <si>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</si>
  <si>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</si>
  <si>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</si>
  <si>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</si>
  <si>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</si>
  <si>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</si>
  <si>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</si>
  <si>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</si>
  <si>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</si>
  <si>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</si>
  <si>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</si>
  <si>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</si>
  <si>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</si>
  <si>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</si>
  <si>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</si>
  <si>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</si>
  <si>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</si>
  <si>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</si>
  <si>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</si>
  <si>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</si>
  <si>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</si>
  <si>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</si>
  <si>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</si>
  <si>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</si>
  <si>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</si>
  <si>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</si>
  <si>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</si>
  <si>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</si>
  <si>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</si>
  <si>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</si>
  <si>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</si>
  <si>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</si>
  <si>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</si>
  <si>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</si>
  <si>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</si>
  <si>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</si>
  <si>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</si>
  <si>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</si>
  <si>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</si>
  <si>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</si>
  <si>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</si>
  <si>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</si>
  <si>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</si>
  <si>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</si>
  <si>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</si>
  <si>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</si>
  <si>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</si>
  <si>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</si>
  <si>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</si>
  <si>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</si>
  <si>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</si>
  <si>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</si>
  <si>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</si>
  <si>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</si>
  <si>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</si>
  <si>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</si>
  <si>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</si>
  <si>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</si>
  <si>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</si>
  <si>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</si>
  <si>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</si>
  <si>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</si>
  <si>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</si>
  <si>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</si>
  <si>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</si>
  <si>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</si>
  <si>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</si>
  <si>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</si>
  <si>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</si>
  <si>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</si>
  <si>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</si>
  <si>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</si>
  <si>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</si>
  <si>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</si>
  <si>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</si>
  <si>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</si>
  <si>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</si>
  <si>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</si>
  <si>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</si>
  <si>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</si>
  <si>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</si>
  <si>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</si>
  <si>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</si>
  <si>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</si>
  <si>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</si>
  <si>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</si>
  <si>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</si>
  <si>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</si>
  <si>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</si>
  <si>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</si>
  <si>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</si>
  <si>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</si>
  <si>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</si>
  <si>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</si>
  <si>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</si>
  <si>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</si>
  <si>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</si>
  <si>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</si>
  <si>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</si>
  <si>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</si>
  <si>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</si>
  <si>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</si>
  <si>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</si>
  <si>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</si>
  <si>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</si>
  <si>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</si>
  <si>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</si>
  <si>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</si>
  <si>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</si>
  <si>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</si>
  <si>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</si>
  <si>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</si>
  <si>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</si>
  <si>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</si>
  <si>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</si>
  <si>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</si>
  <si>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</si>
  <si>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</si>
  <si>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</si>
  <si>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</si>
  <si>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</si>
  <si>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</si>
  <si>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</si>
  <si>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</si>
  <si>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</si>
  <si>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</si>
  <si>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</si>
  <si>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</si>
  <si>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</si>
  <si>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</si>
  <si>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</si>
  <si>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</si>
  <si>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</si>
  <si>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</si>
  <si>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</si>
  <si>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</si>
  <si>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</si>
  <si>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</si>
  <si>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</si>
  <si>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</si>
  <si>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</si>
  <si>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</si>
  <si>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</si>
  <si>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</si>
  <si>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</si>
  <si>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</si>
  <si>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</si>
  <si>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</si>
  <si>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</si>
  <si>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</si>
  <si>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</si>
  <si>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</si>
  <si>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</si>
  <si>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</si>
  <si>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</si>
  <si>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</si>
  <si>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</si>
  <si>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</si>
  <si>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</si>
  <si>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</si>
  <si>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</si>
  <si>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</si>
  <si>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</si>
  <si>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</si>
  <si>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</si>
  <si>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</si>
  <si>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</si>
  <si>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</si>
  <si>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</si>
  <si>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</si>
  <si>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</si>
  <si>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</si>
  <si>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</si>
  <si>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</si>
  <si>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</si>
  <si>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</si>
  <si>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</si>
  <si>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</si>
  <si>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</si>
  <si>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</si>
  <si>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</si>
  <si>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</si>
  <si>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</si>
  <si>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</si>
  <si>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</si>
  <si>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</si>
  <si>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</si>
  <si>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</si>
  <si>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</si>
  <si>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</si>
  <si>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</si>
  <si>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</si>
  <si>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</si>
  <si>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</si>
  <si>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</si>
  <si>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</si>
  <si>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</si>
  <si>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</si>
  <si>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</si>
  <si>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</si>
  <si>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</si>
  <si>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</si>
  <si>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</si>
  <si>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</si>
  <si>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</si>
  <si>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</si>
  <si>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</si>
  <si>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</si>
  <si>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</si>
  <si>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</si>
  <si>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</si>
  <si>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</si>
  <si>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</si>
  <si>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</si>
  <si>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</si>
  <si>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</si>
  <si>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</si>
  <si>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</si>
  <si>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</si>
  <si>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</si>
  <si>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</si>
  <si>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</si>
  <si>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</si>
  <si>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</si>
  <si>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</si>
  <si>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</si>
  <si>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</si>
  <si>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</si>
  <si>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</si>
  <si>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</si>
  <si>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</si>
  <si>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</si>
  <si>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</si>
  <si>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</si>
  <si>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</si>
  <si>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</si>
  <si>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</si>
  <si>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</si>
  <si>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</si>
  <si>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</si>
  <si>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</si>
  <si>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</si>
  <si>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</si>
  <si>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</si>
  <si>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</si>
  <si>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</si>
  <si>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</si>
  <si>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</si>
  <si>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</si>
  <si>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</si>
  <si>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</si>
  <si>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</si>
  <si>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</si>
  <si>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</si>
  <si>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</si>
  <si>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</si>
  <si>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</si>
  <si>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</si>
  <si>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</si>
  <si>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</si>
  <si>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</si>
  <si>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</si>
  <si>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</si>
  <si>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</si>
  <si>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</si>
  <si>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</si>
  <si>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</si>
  <si>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</si>
  <si>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</si>
  <si>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</si>
  <si>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</si>
  <si>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</si>
  <si>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</si>
  <si>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</si>
  <si>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</si>
  <si>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</si>
  <si>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</si>
  <si>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</si>
  <si>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</si>
  <si>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</si>
  <si>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</si>
  <si>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</si>
  <si>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</si>
  <si>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</si>
  <si>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</si>
  <si>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</si>
  <si>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</si>
  <si>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</si>
  <si>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</si>
  <si>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</si>
  <si>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</si>
  <si>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</si>
  <si>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</si>
  <si>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</si>
  <si>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</si>
  <si>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</si>
  <si>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</si>
  <si>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</si>
  <si>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</si>
  <si>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</si>
  <si>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</si>
  <si>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</si>
  <si>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</si>
  <si>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</si>
  <si>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</si>
  <si>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</si>
  <si>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</si>
  <si>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</si>
  <si>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</si>
  <si>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</si>
  <si>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</si>
  <si>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</si>
  <si>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</si>
  <si>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</si>
  <si>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</si>
  <si>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</si>
  <si>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</si>
  <si>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</si>
  <si>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</si>
  <si>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</si>
  <si>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</si>
  <si>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</si>
  <si>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</si>
  <si>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</si>
  <si>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</si>
  <si>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</si>
  <si>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</si>
  <si>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</si>
  <si>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</si>
  <si>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</si>
  <si>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</si>
  <si>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</si>
  <si>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</si>
  <si>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</si>
  <si>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</si>
  <si>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</si>
  <si>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</si>
  <si>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</si>
  <si>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</si>
  <si>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</si>
  <si>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</si>
  <si>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</si>
  <si>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</si>
  <si>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</si>
  <si>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</si>
  <si>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</si>
  <si>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</si>
  <si>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</si>
  <si>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</si>
  <si>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</si>
  <si>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</si>
  <si>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</si>
  <si>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</si>
  <si>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</si>
  <si>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</si>
  <si>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</si>
  <si>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</si>
  <si>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</si>
  <si>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</si>
  <si>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</si>
  <si>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</si>
  <si>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</si>
  <si>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</si>
  <si>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</si>
  <si>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</si>
  <si>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</si>
  <si>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</si>
  <si>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</si>
  <si>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</si>
  <si>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</si>
  <si>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</si>
  <si>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</si>
  <si>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</si>
  <si>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</si>
  <si>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</si>
  <si>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</si>
  <si>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</si>
  <si>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</si>
  <si>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</si>
  <si>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</si>
  <si>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</si>
  <si>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</si>
  <si>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</si>
  <si>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</si>
  <si>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</si>
  <si>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</si>
  <si>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</si>
  <si>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</si>
  <si>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</si>
  <si>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</si>
  <si>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</si>
  <si>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</si>
  <si>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</si>
  <si>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</si>
  <si>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</si>
  <si>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</si>
  <si>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</si>
  <si>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</si>
  <si>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</si>
  <si>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</si>
  <si>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</si>
  <si>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</si>
  <si>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</si>
  <si>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</si>
  <si>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</si>
  <si>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</si>
  <si>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</si>
  <si>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</si>
  <si>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</si>
  <si>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</si>
  <si>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</si>
  <si>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</si>
  <si>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</si>
  <si>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</si>
  <si>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</si>
  <si>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</si>
  <si>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</si>
  <si>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</si>
  <si>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</si>
  <si>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</si>
  <si>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</si>
  <si>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</si>
  <si>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</si>
  <si>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</si>
  <si>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</si>
  <si>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</si>
  <si>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</si>
  <si>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</si>
  <si>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</si>
  <si>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</si>
  <si>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</si>
  <si>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</si>
  <si>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</si>
  <si>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</si>
  <si>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</si>
  <si>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</si>
  <si>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</si>
  <si>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</si>
  <si>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</si>
  <si>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</si>
  <si>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</si>
  <si>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</si>
  <si>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</si>
  <si>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</si>
  <si>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</si>
  <si>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</si>
  <si>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</si>
  <si>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</si>
  <si>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</si>
  <si>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</si>
  <si>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</si>
  <si>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</si>
  <si>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</si>
  <si>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</si>
  <si>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</si>
  <si>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</si>
  <si>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</si>
  <si>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</si>
  <si>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</si>
  <si>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</si>
  <si>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</si>
  <si>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</si>
  <si>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</si>
  <si>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</si>
  <si>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</si>
  <si>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</si>
  <si>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</si>
  <si>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</si>
  <si>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</si>
  <si>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</si>
  <si>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</si>
  <si>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</si>
  <si>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</si>
  <si>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</si>
  <si>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</si>
  <si>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</si>
  <si>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</si>
  <si>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</si>
  <si>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</si>
  <si>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</si>
  <si>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</si>
  <si>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</si>
  <si>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</si>
  <si>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</si>
  <si>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</si>
  <si>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</si>
  <si>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</si>
  <si>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</si>
  <si>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</si>
  <si>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</si>
  <si>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</si>
  <si>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</si>
  <si>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</si>
  <si>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</si>
  <si>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</si>
  <si>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</si>
  <si>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</si>
  <si>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</si>
  <si>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</si>
  <si>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</si>
  <si>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</si>
  <si>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</si>
  <si>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</si>
  <si>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</si>
  <si>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</si>
  <si>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</si>
  <si>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</si>
  <si>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</si>
  <si>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</si>
  <si>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</si>
  <si>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</si>
  <si>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</si>
  <si>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</si>
  <si>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</si>
  <si>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</si>
  <si>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</si>
  <si>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</si>
  <si>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</si>
  <si>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</si>
  <si>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</si>
  <si>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</si>
  <si>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</si>
  <si>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</si>
  <si>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</si>
  <si>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</si>
  <si>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</si>
  <si>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</si>
  <si>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</si>
  <si>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</si>
  <si>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</si>
  <si>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</si>
  <si>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</si>
  <si>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</si>
  <si>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</si>
  <si>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</si>
  <si>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</si>
  <si>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</si>
  <si>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</si>
  <si>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</si>
  <si>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</si>
  <si>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</si>
  <si>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</si>
  <si>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</si>
  <si>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</si>
  <si>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</si>
  <si>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</si>
  <si>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</si>
  <si>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</si>
  <si>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</si>
  <si>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</si>
  <si>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</si>
  <si>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</si>
  <si>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</si>
  <si>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</si>
  <si>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</si>
  <si>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</si>
  <si>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</si>
  <si>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</si>
  <si>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</si>
  <si>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</si>
  <si>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</si>
  <si>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</si>
  <si>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</si>
  <si>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</si>
  <si>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</si>
  <si>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</si>
  <si>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</si>
  <si>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</si>
  <si>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</si>
  <si>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</si>
  <si>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</si>
  <si>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</si>
  <si>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</si>
  <si>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</si>
  <si>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</si>
  <si>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</si>
  <si>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</si>
  <si>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</si>
  <si>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</si>
  <si>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</si>
  <si>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</si>
  <si>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</si>
  <si>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</si>
  <si>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</si>
  <si>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</si>
  <si>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</si>
  <si>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</si>
  <si>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</si>
  <si>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</si>
  <si>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</si>
  <si>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</si>
  <si>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</si>
  <si>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</si>
  <si>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</si>
  <si>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</si>
  <si>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</si>
  <si>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</si>
  <si>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</si>
  <si>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</si>
  <si>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</si>
  <si>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</si>
  <si>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</si>
  <si>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</si>
  <si>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</si>
  <si>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</si>
  <si>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</si>
  <si>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</si>
  <si>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</si>
  <si>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</si>
  <si>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</si>
  <si>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</si>
  <si>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</si>
  <si>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</si>
  <si>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</si>
  <si>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</si>
  <si>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</si>
  <si>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</si>
  <si>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</si>
  <si>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</si>
  <si>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</si>
  <si>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</si>
  <si>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</si>
  <si>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</si>
  <si>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</si>
  <si>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</si>
  <si>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</si>
  <si>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</si>
  <si>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</si>
  <si>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</si>
  <si>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</si>
  <si>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</si>
  <si>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</si>
  <si>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</si>
  <si>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</si>
  <si>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</si>
  <si>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</si>
  <si>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</si>
  <si>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</si>
  <si>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</si>
  <si>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</si>
  <si>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</si>
  <si>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</si>
  <si>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</si>
  <si>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</si>
  <si>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</si>
  <si>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</si>
  <si>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</si>
  <si>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</si>
  <si>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</si>
  <si>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</si>
  <si>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</si>
  <si>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</si>
  <si>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</si>
  <si>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</si>
  <si>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</si>
  <si>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</si>
  <si>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</si>
  <si>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</si>
  <si>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</si>
  <si>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</si>
  <si>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</si>
  <si>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</si>
  <si>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</si>
  <si>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</si>
  <si>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</si>
  <si>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</si>
  <si>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</si>
  <si>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</si>
  <si>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</si>
  <si>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</si>
  <si>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</si>
  <si>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</si>
  <si>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</si>
  <si>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</si>
  <si>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</si>
  <si>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</si>
  <si>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</si>
  <si>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</si>
  <si>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</si>
  <si>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</si>
  <si>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</si>
  <si>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</si>
  <si>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</si>
  <si>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</si>
  <si>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</si>
  <si>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</si>
  <si>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</si>
  <si>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</si>
  <si>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</si>
  <si>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</si>
  <si>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</si>
  <si>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</si>
  <si>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</si>
  <si>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</si>
  <si>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</si>
  <si>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</si>
  <si>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</si>
  <si>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</si>
  <si>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</si>
  <si>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</si>
  <si>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</si>
  <si>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</si>
  <si>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</si>
  <si>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</si>
  <si>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</si>
  <si>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</si>
  <si>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</si>
  <si>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</si>
  <si>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</si>
  <si>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</si>
  <si>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</si>
  <si>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</si>
  <si>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</si>
  <si>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</si>
  <si>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</si>
  <si>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</si>
  <si>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</si>
  <si>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</si>
  <si>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</si>
  <si>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</si>
  <si>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</si>
  <si>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</si>
  <si>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</si>
  <si>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</si>
  <si>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</si>
  <si>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</si>
  <si>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</si>
  <si>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</si>
  <si>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</si>
  <si>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</si>
  <si>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</si>
  <si>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</si>
  <si>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</si>
  <si>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</si>
  <si>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</si>
  <si>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</si>
  <si>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</si>
  <si>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</si>
  <si>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</si>
  <si>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</si>
  <si>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</si>
  <si>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</si>
  <si>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</si>
  <si>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</si>
  <si>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</si>
  <si>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</si>
  <si>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</si>
  <si>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</si>
  <si>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</si>
  <si>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</si>
  <si>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</si>
  <si>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</si>
  <si>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</si>
  <si>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</si>
  <si>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</si>
  <si>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</si>
  <si>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</si>
  <si>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</si>
  <si>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</si>
  <si>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</si>
  <si>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</si>
  <si>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</si>
  <si>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</si>
  <si>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</si>
  <si>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</si>
  <si>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</si>
  <si>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</si>
  <si>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</si>
  <si>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</si>
  <si>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</si>
  <si>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</si>
  <si>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</si>
  <si>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</si>
  <si>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</si>
  <si>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</si>
  <si>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</si>
  <si>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</si>
  <si>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</si>
  <si>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</si>
  <si>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</si>
  <si>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</si>
  <si>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</si>
  <si>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</si>
  <si>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</si>
  <si>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</si>
  <si>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</si>
  <si>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</si>
  <si>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</si>
  <si>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</si>
  <si>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</si>
  <si>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</si>
  <si>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</si>
  <si>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</si>
  <si>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</si>
  <si>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</si>
  <si>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</si>
  <si>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</si>
  <si>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</si>
  <si>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</si>
  <si>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</si>
  <si>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</si>
  <si>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</si>
  <si>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</si>
  <si>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</si>
  <si>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</si>
  <si>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</si>
  <si>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</si>
  <si>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</si>
  <si>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</si>
  <si>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</si>
  <si>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</si>
  <si>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</si>
  <si>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</si>
  <si>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</si>
  <si>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</si>
  <si>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</si>
  <si>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</si>
  <si>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</si>
  <si>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</si>
  <si>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</si>
  <si>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</si>
  <si>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</si>
  <si>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</si>
  <si>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</si>
  <si>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</si>
  <si>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</si>
  <si>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</si>
  <si>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</si>
  <si>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</si>
  <si>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</si>
  <si>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</si>
  <si>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</si>
  <si>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</si>
  <si>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</si>
  <si>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</si>
  <si>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</si>
  <si>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</si>
  <si>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</si>
  <si>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</si>
  <si>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</si>
  <si>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</si>
  <si>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</si>
  <si>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</si>
  <si>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</si>
  <si>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</si>
  <si>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</si>
  <si>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</si>
  <si>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</si>
  <si>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</si>
  <si>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</si>
  <si>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</si>
  <si>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</si>
  <si>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</si>
  <si>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</si>
  <si>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</si>
  <si>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</si>
  <si>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</si>
  <si>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</si>
  <si>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</si>
  <si>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</si>
  <si>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</si>
  <si>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</si>
  <si>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</si>
  <si>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</si>
  <si>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</si>
  <si>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</si>
  <si>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</si>
  <si>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</si>
  <si>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</si>
  <si>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</si>
  <si>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</si>
  <si>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</si>
  <si>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</si>
  <si>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</si>
  <si>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</si>
  <si>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</si>
  <si>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</si>
  <si>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</si>
  <si>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</si>
  <si>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</si>
  <si>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</si>
  <si>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</si>
  <si>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</si>
  <si>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</si>
  <si>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</si>
  <si>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</si>
  <si>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</si>
  <si>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</si>
  <si>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</si>
  <si>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</si>
  <si>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</si>
  <si>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</si>
  <si>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</si>
  <si>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</si>
  <si>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</si>
  <si>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</si>
  <si>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</si>
  <si>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</si>
  <si>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</si>
  <si>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</si>
  <si>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</si>
  <si>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</si>
  <si>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</si>
  <si>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</si>
  <si>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</si>
  <si>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</si>
  <si>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</si>
  <si>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</si>
  <si>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</si>
  <si>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</si>
  <si>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</si>
  <si>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</si>
  <si>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</si>
  <si>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</si>
  <si>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</si>
  <si>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</si>
  <si>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</si>
  <si>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</si>
  <si>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</si>
  <si>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</si>
  <si>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</si>
  <si>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</si>
  <si>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</si>
  <si>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</si>
  <si>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</si>
  <si>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</si>
  <si>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</si>
  <si>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</si>
  <si>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</si>
  <si>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</si>
  <si>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</si>
  <si>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</si>
  <si>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</si>
  <si>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</si>
  <si>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</si>
  <si>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</si>
  <si>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</si>
  <si>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</si>
  <si>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</si>
  <si>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</si>
  <si>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</si>
  <si>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</si>
  <si>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</si>
  <si>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</si>
  <si>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</si>
  <si>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</si>
  <si>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</si>
  <si>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</si>
  <si>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</si>
  <si>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</si>
  <si>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</si>
  <si>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</si>
  <si>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</si>
  <si>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</si>
  <si>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</si>
  <si>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</si>
  <si>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</si>
  <si>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</si>
  <si>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</si>
  <si>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</si>
  <si>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</si>
  <si>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</si>
  <si>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</si>
  <si>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</si>
  <si>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</si>
  <si>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</si>
  <si>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</si>
  <si>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</si>
  <si>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</si>
  <si>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</si>
  <si>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</si>
  <si>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</si>
  <si>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</si>
  <si>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</si>
  <si>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</si>
  <si>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</si>
  <si>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</si>
  <si>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</si>
  <si>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</si>
  <si>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</si>
  <si>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</si>
  <si>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</si>
  <si>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</si>
  <si>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</si>
  <si>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</si>
  <si>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</si>
  <si>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</si>
  <si>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</si>
  <si>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</si>
  <si>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</si>
  <si>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</si>
  <si>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</si>
  <si>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</si>
  <si>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</si>
  <si>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</si>
  <si>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</si>
  <si>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</si>
  <si>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</si>
  <si>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</si>
  <si>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</si>
  <si>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</si>
  <si>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</si>
  <si>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</si>
  <si>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</si>
  <si>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</si>
  <si>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</si>
  <si>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</si>
  <si>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</si>
  <si>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</si>
  <si>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</si>
  <si>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</si>
  <si>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</si>
  <si>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</si>
  <si>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</si>
  <si>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</si>
  <si>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</si>
  <si>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</si>
  <si>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</si>
  <si>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</si>
  <si>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</si>
  <si>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</si>
  <si>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</si>
  <si>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</si>
  <si>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</si>
  <si>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</si>
  <si>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</si>
  <si>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</si>
  <si>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</si>
  <si>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</si>
  <si>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</si>
  <si>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</si>
  <si>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</si>
  <si>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</si>
  <si>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</si>
  <si>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</si>
  <si>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</si>
  <si>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</si>
  <si>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</si>
  <si>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</si>
  <si>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</si>
  <si>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</si>
  <si>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</si>
  <si>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</si>
  <si>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</si>
  <si>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</si>
  <si>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</si>
  <si>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</si>
  <si>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</si>
  <si>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</si>
  <si>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</si>
  <si>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</si>
  <si>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</si>
  <si>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</si>
  <si>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</si>
  <si>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</si>
  <si>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</si>
  <si>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</si>
  <si>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</si>
  <si>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</si>
  <si>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</si>
  <si>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</si>
  <si>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</si>
  <si>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</si>
  <si>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</si>
  <si>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</si>
  <si>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</si>
  <si>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</si>
  <si>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</si>
  <si>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</si>
  <si>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</si>
  <si>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</si>
  <si>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</si>
  <si>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</si>
  <si>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</si>
  <si>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</si>
  <si>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</si>
  <si>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</si>
  <si>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</si>
  <si>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</si>
  <si>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</si>
  <si>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</si>
  <si>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</si>
  <si>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</si>
  <si>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</si>
  <si>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</si>
  <si>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</si>
  <si>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</si>
  <si>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</si>
  <si>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</si>
  <si>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</si>
  <si>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</si>
  <si>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</si>
  <si>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</si>
  <si>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</si>
  <si>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</si>
  <si>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</si>
  <si>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</si>
  <si>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</si>
  <si>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</si>
  <si>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</si>
  <si>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</si>
  <si>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</si>
  <si>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</si>
  <si>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</si>
  <si>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</si>
  <si>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</si>
  <si>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</si>
  <si>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</si>
  <si>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</si>
  <si>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</si>
  <si>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</si>
  <si>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</si>
  <si>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</si>
  <si>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</si>
  <si>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</si>
  <si>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</si>
  <si>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</si>
  <si>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</si>
  <si>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</si>
  <si>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</si>
  <si>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</si>
  <si>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</si>
  <si>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</si>
  <si>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</si>
  <si>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</si>
  <si>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</si>
  <si>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</si>
  <si>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</si>
  <si>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</si>
  <si>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</si>
  <si>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</si>
  <si>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</si>
  <si>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</si>
  <si>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</si>
  <si>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</si>
  <si>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</si>
  <si>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</si>
  <si>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</si>
  <si>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</si>
  <si>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</si>
  <si>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</si>
  <si>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</si>
  <si>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</si>
  <si>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</si>
  <si>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</si>
  <si>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</si>
  <si>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</si>
  <si>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</si>
  <si>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</si>
  <si>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</si>
  <si>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</si>
  <si>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</si>
  <si>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</si>
  <si>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</si>
  <si>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</si>
  <si>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</si>
  <si>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</si>
  <si>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</si>
  <si>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</si>
  <si>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</si>
  <si>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</si>
  <si>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</si>
  <si>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</si>
  <si>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</si>
  <si>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</si>
  <si>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</si>
  <si>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</si>
  <si>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</si>
  <si>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</si>
  <si>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</si>
  <si>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</si>
  <si>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</si>
  <si>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</si>
  <si>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</si>
  <si>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</si>
  <si>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</si>
  <si>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</si>
  <si>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</si>
  <si>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</si>
  <si>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</si>
  <si>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</si>
  <si>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</si>
  <si>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</si>
  <si>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</si>
  <si>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</si>
  <si>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</si>
  <si>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</si>
  <si>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</si>
  <si>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</si>
  <si>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</si>
  <si>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</si>
  <si>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</si>
  <si>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</si>
  <si>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</si>
  <si>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</si>
  <si>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</si>
  <si>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</si>
  <si>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</si>
  <si>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</si>
  <si>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</si>
  <si>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</si>
  <si>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</si>
  <si>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</si>
  <si>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</si>
  <si>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</si>
  <si>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</si>
  <si>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</si>
  <si>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</si>
  <si>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</si>
  <si>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</si>
  <si>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</si>
  <si>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</si>
  <si>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</si>
  <si>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</si>
  <si>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</si>
  <si>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</si>
  <si>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</si>
  <si>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</si>
  <si>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</si>
  <si>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</si>
  <si>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</si>
  <si>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</si>
  <si>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</si>
  <si>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</si>
  <si>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</si>
  <si>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</si>
  <si>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</si>
  <si>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</si>
  <si>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</si>
  <si>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</si>
  <si>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</si>
  <si>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</si>
  <si>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</si>
  <si>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</si>
  <si>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</si>
  <si>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</si>
  <si>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</si>
  <si>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</si>
  <si>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</si>
  <si>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</si>
  <si>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</si>
  <si>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</si>
  <si>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</si>
  <si>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</si>
  <si>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</si>
  <si>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</si>
  <si>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</si>
  <si>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</si>
  <si>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</si>
  <si>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</si>
  <si>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</si>
  <si>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</si>
  <si>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</si>
  <si>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</si>
  <si>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</si>
  <si>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</si>
  <si>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</si>
  <si>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</si>
  <si>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</si>
  <si>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</si>
  <si>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</si>
  <si>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</si>
  <si>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</si>
  <si>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</si>
  <si>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</si>
  <si>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</si>
  <si>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</si>
  <si>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</si>
  <si>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</si>
  <si>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</si>
  <si>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</si>
  <si>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</si>
  <si>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</si>
  <si>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</si>
  <si>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</si>
  <si>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</si>
  <si>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</si>
  <si>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</si>
  <si>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</si>
  <si>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</si>
  <si>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</si>
  <si>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</si>
  <si>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</si>
  <si>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</si>
  <si>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</si>
  <si>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</si>
  <si>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</si>
  <si>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</si>
  <si>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</si>
  <si>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</si>
  <si>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</si>
  <si>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</si>
  <si>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</si>
  <si>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</si>
  <si>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</si>
  <si>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</si>
  <si>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</si>
  <si>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</si>
  <si>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</si>
  <si>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</si>
  <si>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</si>
  <si>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</si>
  <si>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</si>
  <si>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</si>
  <si>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</si>
  <si>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</si>
  <si>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</si>
  <si>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</si>
  <si>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</si>
  <si>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</si>
  <si>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</si>
  <si>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</si>
  <si>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</si>
  <si>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</si>
  <si>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</si>
  <si>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</si>
  <si>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</si>
  <si>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</si>
  <si>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</si>
  <si>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</si>
  <si>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</si>
  <si>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</si>
  <si>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</si>
  <si>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</si>
  <si>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</si>
  <si>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</si>
  <si>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</si>
  <si>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</si>
  <si>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</si>
  <si>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</si>
  <si>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</si>
  <si>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</si>
  <si>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</si>
  <si>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</si>
  <si>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</si>
  <si>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</si>
  <si>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</si>
  <si>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</si>
  <si>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</si>
  <si>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</si>
  <si>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</si>
  <si>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</si>
  <si>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</si>
  <si>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</si>
  <si>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</si>
  <si>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</si>
  <si>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</si>
  <si>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</si>
  <si>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</si>
  <si>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</si>
  <si>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</si>
  <si>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</si>
  <si>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</si>
  <si>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</si>
  <si>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</si>
  <si>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</si>
  <si>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</si>
  <si>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</si>
  <si>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</si>
  <si>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</si>
  <si>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</si>
  <si>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</si>
  <si>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</si>
  <si>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</si>
  <si>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</si>
  <si>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</si>
  <si>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</si>
  <si>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</si>
  <si>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</si>
  <si>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</si>
  <si>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</si>
  <si>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</si>
  <si>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</si>
  <si>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</si>
  <si>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</si>
  <si>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</si>
  <si>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</si>
  <si>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</si>
  <si>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</si>
  <si>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</si>
  <si>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</si>
  <si>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</si>
  <si>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</si>
  <si>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</si>
  <si>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</si>
  <si>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</si>
  <si>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</si>
  <si>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</si>
  <si>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</si>
  <si>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</si>
  <si>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</si>
  <si>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</si>
  <si>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</si>
  <si>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</si>
  <si>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</si>
  <si>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</si>
  <si>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</si>
  <si>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</si>
  <si>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</si>
  <si>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</si>
  <si>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</si>
  <si>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</si>
  <si>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</si>
  <si>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</si>
  <si>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</si>
  <si>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</si>
  <si>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</si>
  <si>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</si>
  <si>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</si>
  <si>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</si>
  <si>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</si>
  <si>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</si>
  <si>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</si>
  <si>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</si>
  <si>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</si>
  <si>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</si>
  <si>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</si>
  <si>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</si>
  <si>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</si>
  <si>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</si>
  <si>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</si>
  <si>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</si>
  <si>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</si>
  <si>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</si>
  <si>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</si>
  <si>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</si>
  <si>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</si>
  <si>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</si>
  <si>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</si>
  <si>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</si>
  <si>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</si>
  <si>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</si>
  <si>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</si>
  <si>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</si>
  <si>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</si>
  <si>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</si>
  <si>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</si>
  <si>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</si>
  <si>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</si>
  <si>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</si>
  <si>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</si>
  <si>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</si>
  <si>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</si>
  <si>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</si>
  <si>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</si>
  <si>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</si>
  <si>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</si>
  <si>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</si>
  <si>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</si>
  <si>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</si>
  <si>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</si>
  <si>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</si>
  <si>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</si>
  <si>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</si>
  <si>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</si>
  <si>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</si>
  <si>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</si>
  <si>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</si>
  <si>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</si>
  <si>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</si>
  <si>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</si>
  <si>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</si>
  <si>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</si>
  <si>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</si>
  <si>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</si>
  <si>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</si>
  <si>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</si>
  <si>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</si>
  <si>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</si>
  <si>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</si>
  <si>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</si>
  <si>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</si>
  <si>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</si>
  <si>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</si>
  <si>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</si>
  <si>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</si>
  <si>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</si>
  <si>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</si>
  <si>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</si>
  <si>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</si>
  <si>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</si>
  <si>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</si>
  <si>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</si>
  <si>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</si>
  <si>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</si>
  <si>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</si>
  <si>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</si>
  <si>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</si>
  <si>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</si>
  <si>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</si>
  <si>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</si>
  <si>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</si>
  <si>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</si>
  <si>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</si>
  <si>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</si>
  <si>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</si>
  <si>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</si>
  <si>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</si>
  <si>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</si>
  <si>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</si>
  <si>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</si>
  <si>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</si>
  <si>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</si>
  <si>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</si>
  <si>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</si>
  <si>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</si>
  <si>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</si>
  <si>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</si>
  <si>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</si>
  <si>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</si>
  <si>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</si>
  <si>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</si>
  <si>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</si>
  <si>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</si>
  <si>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</si>
  <si>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</si>
  <si>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</si>
  <si>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</si>
  <si>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</si>
  <si>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</si>
  <si>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</si>
  <si>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</si>
  <si>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</si>
  <si>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</si>
  <si>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</si>
  <si>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</si>
  <si>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</si>
  <si>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</si>
  <si>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</si>
  <si>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</si>
  <si>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</si>
  <si>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</si>
  <si>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</si>
  <si>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</si>
  <si>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</si>
  <si>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</si>
  <si>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</si>
  <si>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</si>
  <si>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</si>
  <si>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</si>
  <si>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</si>
  <si>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</si>
  <si>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</si>
  <si>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</si>
  <si>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</si>
  <si>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</si>
  <si>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</si>
  <si>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</si>
  <si>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</si>
  <si>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</si>
  <si>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</si>
  <si>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</si>
  <si>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</si>
  <si>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</si>
  <si>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</si>
  <si>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</si>
  <si>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</si>
  <si>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</si>
  <si>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</si>
  <si>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</si>
  <si>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</si>
  <si>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</si>
  <si>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</si>
  <si>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</si>
  <si>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</si>
  <si>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</si>
  <si>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</si>
  <si>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</si>
  <si>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</si>
  <si>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</si>
  <si>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</si>
  <si>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</si>
  <si>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</si>
  <si>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</si>
  <si>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</si>
  <si>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</si>
  <si>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</si>
  <si>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</si>
  <si>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</si>
  <si>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</si>
  <si>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</si>
  <si>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</si>
  <si>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</si>
  <si>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</si>
  <si>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</si>
  <si>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</si>
  <si>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</si>
  <si>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</si>
  <si>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</si>
  <si>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</si>
  <si>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</si>
  <si>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</si>
  <si>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</si>
  <si>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</si>
  <si>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</si>
  <si>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</si>
  <si>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</si>
  <si>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</si>
  <si>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</si>
  <si>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</si>
  <si>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</si>
  <si>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</si>
  <si>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</si>
  <si>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</si>
  <si>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</si>
  <si>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</si>
  <si>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</si>
  <si>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</si>
  <si>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</si>
  <si>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</si>
  <si>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</si>
  <si>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</si>
  <si>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</si>
  <si>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</si>
  <si>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</si>
  <si>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</si>
  <si>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</si>
  <si>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</si>
  <si>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</si>
  <si>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</si>
  <si>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</si>
  <si>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</si>
  <si>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</si>
  <si>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</si>
  <si>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</si>
  <si>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</si>
  <si>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</si>
  <si>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</si>
  <si>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</si>
  <si>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</si>
  <si>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</si>
  <si>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</si>
  <si>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</si>
  <si>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</si>
  <si>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</si>
  <si>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</si>
  <si>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</si>
  <si>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</si>
  <si>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</si>
  <si>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</si>
  <si>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</si>
  <si>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</si>
  <si>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</si>
  <si>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</si>
  <si>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</si>
  <si>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</si>
  <si>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</si>
  <si>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</si>
  <si>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</si>
  <si>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</si>
  <si>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</si>
  <si>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</si>
  <si>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</si>
  <si>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</si>
  <si>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</si>
  <si>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</si>
  <si>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</si>
  <si>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</si>
  <si>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</si>
  <si>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</si>
  <si>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</si>
  <si>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</si>
  <si>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</si>
  <si>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</si>
  <si>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</si>
  <si>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</si>
  <si>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</si>
  <si>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</si>
  <si>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</si>
  <si>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</si>
  <si>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</si>
  <si>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</si>
  <si>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</si>
  <si>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</si>
  <si>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</si>
  <si>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</si>
  <si>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</si>
  <si>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</si>
  <si>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</si>
  <si>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</si>
  <si>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</si>
  <si>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</si>
  <si>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</si>
  <si>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</si>
  <si>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</si>
  <si>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</si>
  <si>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</si>
  <si>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</si>
  <si>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</si>
  <si>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</si>
  <si>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</si>
  <si>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</si>
  <si>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</si>
  <si>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</si>
  <si>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</si>
  <si>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</si>
  <si>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</si>
  <si>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</si>
  <si>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</si>
  <si>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</si>
  <si>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</si>
  <si>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</si>
  <si>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</si>
  <si>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</si>
  <si>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</si>
  <si>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</si>
  <si>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</si>
  <si>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</si>
  <si>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</si>
  <si>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</si>
  <si>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</si>
  <si>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</si>
  <si>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</si>
  <si>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</si>
  <si>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</si>
  <si>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</si>
  <si>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</si>
  <si>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</si>
  <si>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</si>
  <si>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</si>
  <si>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</si>
  <si>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</si>
  <si>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</si>
  <si>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</si>
  <si>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</si>
  <si>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</si>
  <si>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</si>
  <si>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</si>
  <si>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</si>
  <si>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</si>
  <si>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</si>
  <si>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</si>
  <si>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</si>
  <si>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</si>
  <si>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</si>
  <si>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</si>
  <si>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</si>
  <si>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</si>
  <si>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</si>
  <si>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</si>
  <si>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</si>
  <si>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</si>
  <si>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</si>
  <si>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</si>
  <si>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</si>
  <si>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</si>
  <si>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</si>
  <si>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</si>
  <si>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</si>
  <si>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</si>
  <si>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</si>
  <si>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</si>
  <si>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</si>
  <si>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</si>
  <si>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</si>
  <si>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</si>
  <si>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</si>
  <si>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</si>
  <si>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</si>
  <si>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</si>
  <si>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</si>
  <si>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</si>
  <si>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</si>
  <si>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</si>
  <si>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</si>
  <si>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</si>
  <si>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</si>
  <si>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</si>
  <si>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</si>
  <si>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</si>
  <si>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</si>
  <si>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</si>
  <si>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</si>
  <si>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</si>
  <si>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</si>
  <si>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</si>
  <si>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</si>
  <si>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</si>
  <si>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</si>
  <si>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</si>
  <si>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</si>
  <si>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</si>
  <si>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</si>
  <si>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</si>
  <si>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</si>
  <si>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</si>
  <si>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</si>
  <si>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</si>
  <si>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</si>
  <si>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</si>
  <si>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</si>
  <si>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</si>
  <si>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</si>
  <si>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</si>
  <si>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</si>
  <si>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</si>
  <si>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</si>
  <si>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</si>
  <si>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</si>
  <si>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</si>
  <si>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</si>
  <si>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</si>
  <si>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</si>
  <si>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</si>
  <si>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</si>
  <si>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</si>
  <si>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</si>
  <si>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</si>
  <si>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</si>
  <si>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</si>
  <si>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</si>
  <si>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</si>
  <si>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</si>
  <si>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</si>
  <si>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</si>
  <si>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</si>
  <si>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</si>
  <si>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</si>
  <si>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</si>
  <si>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</si>
  <si>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</si>
  <si>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</si>
  <si>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</si>
  <si>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</si>
  <si>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</si>
  <si>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</si>
  <si>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</si>
  <si>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</si>
  <si>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</si>
  <si>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</si>
  <si>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</si>
  <si>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</si>
  <si>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</si>
  <si>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</si>
  <si>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</si>
  <si>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</si>
  <si>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</si>
  <si>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</si>
  <si>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</si>
  <si>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</si>
  <si>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</si>
  <si>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</si>
  <si>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</si>
  <si>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</si>
  <si>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</si>
  <si>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</si>
  <si>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</si>
  <si>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</si>
  <si>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</si>
  <si>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</si>
  <si>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</si>
  <si>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</si>
  <si>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</si>
  <si>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</si>
  <si>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</si>
  <si>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</si>
  <si>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</si>
  <si>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</si>
  <si>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</si>
  <si>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</si>
  <si>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</si>
  <si>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</si>
  <si>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</si>
  <si>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</si>
  <si>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</si>
  <si>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</si>
  <si>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</si>
  <si>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</si>
  <si>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</si>
  <si>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</si>
  <si>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</si>
  <si>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</si>
  <si>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</si>
  <si>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</si>
  <si>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</si>
  <si>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</si>
  <si>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</si>
  <si>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</si>
  <si>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</si>
  <si>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</si>
  <si>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</si>
  <si>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</si>
  <si>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</si>
  <si>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</si>
  <si>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</si>
  <si>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</si>
  <si>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</si>
  <si>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</si>
  <si>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</si>
  <si>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</si>
  <si>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</si>
  <si>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</si>
  <si>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</si>
  <si>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</si>
  <si>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</si>
  <si>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</si>
  <si>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</si>
  <si>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</si>
  <si>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</si>
  <si>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</si>
  <si>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</si>
  <si>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</si>
  <si>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</si>
  <si>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</si>
  <si>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</si>
  <si>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</si>
  <si>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</si>
  <si>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</si>
  <si>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</si>
  <si>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</si>
  <si>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</si>
  <si>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</si>
  <si>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</si>
  <si>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</si>
  <si>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</si>
  <si>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</si>
  <si>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</si>
  <si>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</si>
  <si>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</si>
  <si>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</si>
  <si>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</si>
  <si>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</si>
  <si>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</si>
  <si>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</si>
  <si>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</si>
  <si>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</si>
  <si>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</si>
  <si>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</si>
  <si>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</si>
  <si>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</si>
  <si>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</si>
  <si>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</si>
  <si>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</si>
  <si>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</si>
  <si>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</si>
  <si>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</si>
  <si>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</si>
  <si>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</si>
  <si>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</si>
  <si>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</si>
  <si>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</si>
  <si>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</si>
  <si>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</si>
  <si>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</si>
  <si>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</si>
  <si>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</si>
  <si>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</si>
  <si>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</si>
  <si>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</si>
  <si>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</si>
  <si>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</si>
  <si>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</si>
  <si>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</si>
  <si>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</si>
  <si>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</si>
  <si>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</si>
  <si>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</si>
  <si>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</si>
  <si>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</si>
  <si>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</si>
  <si>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</si>
  <si>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</si>
  <si>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</si>
  <si>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</si>
  <si>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</si>
  <si>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</si>
  <si>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</si>
  <si>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</si>
  <si>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</si>
  <si>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</si>
  <si>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</si>
  <si>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</si>
  <si>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</si>
  <si>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</si>
  <si>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</si>
  <si>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</si>
  <si>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</si>
  <si>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</si>
  <si>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</si>
  <si>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</si>
  <si>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</si>
  <si>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</si>
  <si>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</si>
  <si>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</si>
  <si>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</si>
  <si>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</si>
  <si>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</si>
  <si>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</si>
  <si>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</si>
  <si>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</si>
  <si>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</si>
  <si>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</si>
  <si>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</si>
  <si>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</si>
  <si>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</si>
  <si>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</si>
  <si>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</si>
  <si>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</si>
  <si>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</si>
  <si>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</si>
  <si>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</si>
  <si>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</si>
  <si>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</si>
  <si>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</si>
  <si>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</si>
  <si>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</si>
  <si>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</si>
  <si>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</si>
  <si>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</si>
  <si>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</si>
  <si>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</si>
  <si>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</si>
  <si>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</si>
  <si>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</si>
  <si>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</si>
  <si>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</si>
  <si>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</si>
  <si>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</si>
  <si>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</si>
  <si>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</si>
  <si>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</si>
  <si>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</si>
  <si>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</si>
  <si>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</si>
  <si>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</si>
  <si>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</si>
  <si>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</si>
  <si>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</si>
  <si>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</si>
  <si>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</si>
  <si>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</si>
  <si>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</si>
  <si>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</si>
  <si>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</si>
  <si>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</si>
  <si>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</si>
  <si>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</si>
  <si>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</si>
  <si>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</si>
  <si>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</si>
  <si>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</si>
  <si>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</si>
  <si>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</si>
  <si>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</si>
  <si>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</si>
  <si>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</si>
  <si>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</si>
  <si>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</si>
  <si>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</si>
  <si>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</si>
  <si>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</si>
  <si>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</si>
  <si>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</si>
  <si>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</si>
  <si>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</si>
  <si>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</si>
  <si>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</si>
  <si>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</si>
  <si>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</si>
  <si>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</si>
  <si>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</si>
  <si>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</si>
  <si>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</si>
  <si>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</si>
  <si>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</si>
  <si>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</si>
  <si>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</si>
  <si>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</si>
  <si>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</si>
  <si>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</si>
  <si>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</si>
  <si>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</si>
  <si>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</si>
  <si>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</si>
  <si>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</si>
  <si>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</si>
  <si>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</si>
  <si>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</si>
  <si>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</si>
  <si>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</si>
  <si>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</si>
  <si>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</si>
  <si>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</si>
  <si>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</si>
  <si>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</si>
  <si>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</si>
  <si>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</si>
  <si>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</si>
  <si>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</si>
  <si>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</si>
  <si>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</si>
  <si>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</si>
  <si>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</si>
  <si>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</si>
  <si>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</si>
  <si>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</si>
  <si>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</si>
  <si>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</si>
  <si>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</si>
  <si>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</si>
  <si>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</si>
  <si>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</si>
  <si>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</si>
  <si>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</si>
  <si>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</si>
  <si>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</si>
  <si>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</si>
  <si>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</si>
  <si>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</si>
  <si>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</si>
  <si>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</si>
  <si>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</si>
  <si>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</si>
  <si>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</si>
  <si>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</si>
  <si>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</si>
  <si>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</si>
  <si>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</si>
  <si>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</si>
  <si>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</si>
  <si>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</si>
  <si>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</si>
  <si>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</si>
  <si>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</si>
  <si>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</si>
  <si>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</si>
  <si>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</si>
  <si>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</si>
  <si>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</si>
  <si>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</si>
  <si>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</si>
  <si>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</si>
  <si>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</si>
  <si>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</si>
  <si>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</si>
  <si>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</si>
  <si>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</si>
  <si>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</si>
  <si>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</si>
  <si>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</si>
  <si>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</si>
  <si>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</si>
  <si>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</si>
  <si>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</si>
  <si>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</si>
  <si>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</si>
  <si>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</si>
  <si>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</si>
  <si>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</si>
  <si>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</si>
  <si>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</si>
  <si>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</si>
  <si>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</si>
  <si>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</si>
  <si>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</si>
  <si>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</si>
  <si>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</si>
  <si>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</si>
  <si>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</si>
  <si>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</si>
  <si>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</si>
  <si>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</si>
  <si>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</si>
  <si>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</si>
  <si>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</si>
  <si>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</si>
  <si>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</si>
  <si>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</si>
  <si>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</si>
  <si>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</si>
  <si>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</si>
  <si>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</si>
  <si>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</si>
  <si>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</si>
  <si>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</si>
  <si>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</si>
  <si>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</si>
  <si>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</si>
  <si>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</si>
  <si>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</si>
  <si>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</si>
  <si>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</si>
  <si>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</si>
  <si>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</si>
  <si>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</si>
  <si>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</si>
  <si>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</si>
  <si>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</si>
  <si>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</si>
  <si>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</si>
  <si>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</si>
  <si>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</si>
  <si>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</si>
  <si>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</si>
  <si>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</si>
  <si>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</si>
  <si>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</si>
  <si>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</si>
  <si>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</si>
  <si>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</si>
  <si>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</si>
  <si>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</si>
  <si>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</si>
  <si>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</si>
  <si>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</si>
  <si>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</si>
  <si>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</si>
  <si>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</si>
  <si>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</si>
  <si>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</si>
  <si>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</si>
  <si>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</si>
  <si>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</si>
  <si>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</si>
  <si>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</si>
  <si>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</si>
  <si>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</si>
  <si>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</si>
  <si>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</si>
  <si>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</si>
  <si>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</si>
  <si>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</si>
  <si>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</si>
  <si>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</si>
  <si>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</si>
  <si>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</si>
  <si>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</si>
  <si>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</si>
  <si>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</si>
  <si>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</si>
  <si>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</si>
  <si>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</si>
  <si>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</si>
  <si>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</si>
  <si>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</si>
  <si>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</si>
  <si>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</si>
  <si>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</si>
  <si>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</si>
  <si>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</si>
  <si>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</si>
  <si>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</si>
  <si>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</si>
  <si>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</si>
  <si>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</si>
  <si>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</si>
  <si>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</si>
  <si>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</si>
  <si>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</si>
  <si>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</si>
  <si>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</si>
  <si>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</si>
  <si>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</si>
  <si>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</si>
  <si>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</si>
  <si>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</si>
  <si>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</si>
  <si>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</si>
  <si>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</si>
  <si>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</si>
  <si>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</si>
  <si>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</si>
  <si>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</si>
  <si>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</si>
  <si>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</si>
  <si>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</si>
  <si>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</si>
  <si>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</si>
  <si>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</si>
  <si>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</si>
  <si>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</si>
  <si>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</si>
  <si>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</si>
  <si>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</si>
  <si>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</si>
  <si>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</si>
  <si>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</si>
  <si>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</si>
  <si>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</si>
  <si>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</si>
  <si>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</si>
  <si>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</si>
  <si>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</si>
  <si>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</si>
  <si>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</si>
  <si>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</si>
  <si>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</si>
  <si>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</si>
  <si>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</si>
  <si>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</si>
  <si>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</si>
  <si>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</si>
  <si>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</si>
  <si>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</si>
  <si>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</si>
  <si>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</si>
  <si>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</si>
  <si>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</si>
  <si>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</si>
  <si>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</si>
  <si>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</si>
  <si>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</si>
  <si>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</si>
  <si>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</si>
  <si>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</si>
  <si>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</si>
  <si>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</si>
  <si>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</si>
  <si>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</si>
  <si>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</si>
  <si>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</si>
  <si>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</si>
  <si>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</si>
  <si>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</si>
  <si>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</si>
  <si>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</si>
  <si>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</si>
  <si>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</si>
  <si>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</si>
  <si>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</si>
  <si>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</si>
  <si>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</si>
  <si>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</si>
  <si>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</si>
  <si>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</si>
  <si>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</si>
  <si>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</si>
  <si>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</si>
  <si>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</si>
  <si>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</si>
  <si>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</si>
  <si>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</si>
  <si>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</si>
  <si>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</si>
  <si>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</si>
  <si>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</si>
  <si>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</si>
  <si>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</si>
  <si>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</si>
  <si>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</si>
  <si>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</si>
  <si>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</si>
  <si>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</si>
  <si>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</si>
  <si>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</si>
  <si>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</si>
  <si>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</si>
  <si>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</si>
  <si>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</si>
  <si>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</si>
  <si>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</si>
  <si>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</si>
  <si>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</si>
  <si>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</si>
  <si>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</si>
  <si>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</si>
  <si>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</si>
  <si>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</si>
  <si>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</si>
  <si>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</si>
  <si>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</si>
  <si>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</si>
  <si>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</si>
  <si>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</si>
  <si>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</si>
  <si>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</si>
  <si>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</si>
  <si>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</si>
  <si>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</si>
  <si>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</si>
  <si>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</si>
  <si>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</si>
  <si>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</si>
  <si>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</si>
  <si>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</si>
  <si>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</si>
  <si>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</si>
  <si>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</si>
  <si>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</si>
  <si>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</si>
  <si>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</si>
  <si>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</si>
  <si>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</si>
  <si>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</si>
  <si>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</si>
  <si>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</si>
  <si>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</si>
  <si>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</si>
  <si>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</si>
  <si>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</si>
  <si>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</si>
  <si>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</si>
  <si>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</si>
  <si>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</si>
  <si>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</si>
  <si>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</si>
  <si>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</si>
  <si>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</si>
  <si>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</si>
  <si>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</si>
  <si>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</si>
  <si>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</si>
  <si>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</si>
  <si>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</si>
  <si>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</si>
  <si>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</si>
  <si>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</si>
  <si>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</si>
  <si>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</si>
  <si>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</si>
  <si>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</si>
  <si>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</si>
  <si>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</si>
  <si>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</si>
  <si>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</si>
  <si>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</si>
  <si>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</si>
  <si>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</si>
  <si>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</si>
  <si>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</si>
  <si>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</si>
  <si>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</si>
  <si>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</si>
  <si>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</si>
  <si>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</si>
  <si>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</si>
  <si>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</si>
  <si>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</si>
  <si>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</si>
  <si>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</si>
  <si>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</si>
  <si>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</si>
  <si>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</si>
  <si>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</si>
  <si>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</si>
  <si>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</si>
  <si>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</si>
  <si>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</si>
  <si>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</si>
  <si>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</si>
  <si>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</si>
  <si>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</si>
  <si>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</si>
  <si>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</si>
  <si>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</si>
  <si>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</si>
  <si>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</si>
  <si>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</si>
  <si>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</si>
  <si>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</si>
  <si>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</si>
  <si>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</si>
  <si>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</si>
  <si>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</si>
  <si>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</si>
  <si>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</si>
  <si>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</si>
  <si>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</si>
  <si>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</si>
  <si>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</si>
  <si>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</si>
  <si>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</si>
  <si>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</si>
  <si>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</si>
  <si>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</si>
  <si>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</si>
  <si>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</si>
  <si>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</si>
  <si>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</si>
  <si>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</si>
  <si>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</si>
  <si>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</si>
  <si>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</si>
  <si>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</si>
  <si>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</si>
  <si>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</si>
  <si>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</si>
  <si>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</si>
  <si>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</si>
  <si>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</si>
  <si>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</si>
  <si>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</si>
  <si>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</si>
  <si>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</si>
  <si>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</si>
  <si>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</si>
  <si>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</si>
  <si>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</si>
  <si>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</si>
  <si>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</si>
  <si>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</si>
  <si>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</si>
  <si>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</si>
  <si>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</si>
  <si>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</si>
  <si>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</si>
  <si>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</si>
  <si>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</si>
  <si>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</si>
  <si>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</si>
  <si>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</si>
  <si>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</si>
  <si>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</si>
  <si>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</si>
  <si>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</si>
  <si>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</si>
  <si>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</si>
  <si>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</si>
  <si>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</si>
  <si>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</si>
  <si>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</si>
  <si>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</si>
  <si>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</si>
  <si>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</si>
  <si>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</si>
  <si>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</si>
  <si>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</si>
  <si>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</si>
  <si>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</si>
  <si>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</si>
  <si>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</si>
  <si>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</si>
  <si>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</si>
  <si>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</si>
  <si>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</si>
  <si>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</si>
  <si>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</si>
  <si>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</si>
  <si>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</si>
  <si>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</si>
  <si>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</si>
  <si>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</si>
  <si>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</si>
  <si>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</si>
  <si>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</si>
  <si>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</si>
  <si>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</si>
  <si>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</si>
  <si>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</si>
  <si>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</si>
  <si>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</si>
  <si>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</si>
  <si>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</si>
  <si>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</si>
  <si>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</si>
  <si>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</si>
  <si>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</si>
  <si>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</si>
  <si>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</si>
  <si>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</si>
  <si>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</si>
  <si>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</si>
  <si>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</si>
  <si>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</si>
  <si>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</si>
  <si>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</si>
  <si>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</si>
  <si>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</si>
  <si>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</si>
  <si>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</si>
  <si>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</si>
  <si>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</si>
  <si>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</si>
  <si>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</si>
  <si>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</si>
  <si>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</si>
  <si>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</si>
  <si>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</si>
  <si>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</si>
  <si>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</si>
  <si>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</si>
  <si>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</si>
  <si>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</si>
  <si>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</si>
  <si>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</si>
  <si>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</si>
  <si>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</si>
  <si>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</si>
  <si>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</si>
  <si>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</si>
  <si>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</si>
  <si>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</si>
  <si>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</si>
  <si>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</si>
  <si>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</si>
  <si>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</si>
  <si>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</si>
  <si>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</si>
  <si>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</si>
  <si>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</si>
  <si>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</si>
  <si>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</si>
  <si>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</si>
  <si>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</si>
  <si>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</si>
  <si>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</si>
  <si>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</si>
  <si>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</si>
  <si>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</si>
  <si>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</si>
  <si>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</si>
  <si>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</si>
  <si>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</si>
  <si>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</si>
  <si>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</si>
  <si>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</si>
  <si>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</si>
  <si>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</si>
  <si>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</si>
  <si>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</si>
  <si>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</si>
  <si>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</si>
  <si>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</si>
  <si>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</si>
  <si>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</si>
  <si>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</si>
  <si>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</si>
  <si>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</si>
  <si>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</si>
  <si>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</si>
  <si>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</si>
  <si>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</si>
  <si>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</si>
  <si>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</si>
  <si>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</si>
  <si>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</si>
  <si>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</si>
  <si>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</si>
  <si>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</si>
  <si>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</si>
  <si>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</si>
  <si>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</si>
  <si>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</si>
  <si>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</si>
  <si>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</si>
  <si>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</si>
  <si>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</si>
  <si>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</si>
  <si>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</si>
  <si>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</si>
  <si>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</si>
  <si>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</si>
  <si>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</si>
  <si>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</si>
  <si>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</si>
  <si>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</si>
  <si>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</si>
  <si>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</si>
  <si>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</si>
  <si>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</si>
  <si>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</si>
  <si>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</si>
  <si>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</si>
  <si>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</si>
  <si>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</si>
  <si>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</si>
  <si>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</si>
  <si>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</si>
  <si>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</si>
  <si>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</si>
  <si>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</si>
  <si>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</si>
  <si>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</si>
  <si>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</si>
  <si>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</si>
  <si>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</si>
  <si>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</si>
  <si>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</si>
  <si>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</si>
  <si>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</si>
  <si>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</si>
  <si>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</si>
  <si>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</si>
  <si>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</si>
  <si>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</si>
  <si>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</si>
  <si>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</si>
  <si>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</si>
  <si>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</si>
  <si>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</si>
  <si>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</si>
  <si>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</si>
  <si>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</si>
  <si>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</si>
  <si>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</si>
  <si>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</si>
  <si>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</si>
  <si>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</si>
  <si>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</si>
  <si>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</si>
  <si>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</si>
  <si>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</si>
  <si>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</si>
  <si>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</si>
  <si>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</si>
  <si>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</si>
  <si>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</si>
  <si>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</si>
  <si>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</si>
  <si>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</si>
  <si>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</si>
  <si>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</si>
  <si>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</si>
  <si>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</si>
  <si>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</si>
  <si>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</si>
  <si>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</si>
  <si>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</si>
  <si>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</si>
  <si>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</si>
  <si>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</si>
  <si>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</si>
  <si>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</si>
  <si>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</si>
  <si>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</si>
  <si>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</si>
  <si>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</si>
  <si>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</si>
  <si>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</si>
  <si>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</si>
  <si>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</si>
  <si>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</si>
  <si>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</si>
  <si>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</si>
  <si>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</si>
  <si>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</si>
  <si>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</si>
  <si>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</si>
  <si>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</si>
  <si>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</si>
  <si>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</si>
  <si>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</si>
  <si>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</si>
  <si>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</si>
  <si>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</si>
  <si>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</si>
  <si>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</si>
  <si>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</si>
  <si>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</si>
  <si>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</si>
  <si>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</si>
  <si>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</si>
  <si>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</si>
  <si>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</si>
  <si>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</si>
  <si>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</si>
  <si>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</si>
  <si>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</si>
  <si>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</si>
  <si>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</si>
  <si>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</si>
  <si>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</si>
  <si>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</si>
  <si>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</si>
  <si>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</si>
  <si>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</si>
  <si>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</si>
  <si>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</si>
  <si>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</si>
  <si>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</si>
  <si>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</si>
  <si>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</si>
  <si>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</si>
  <si>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</si>
  <si>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</si>
  <si>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</si>
  <si>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</si>
  <si>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</si>
  <si>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</si>
  <si>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</si>
  <si>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</si>
  <si>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</si>
  <si>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</si>
  <si>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</si>
  <si>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</si>
  <si>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</si>
  <si>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</si>
  <si>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</si>
  <si>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</si>
  <si>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</si>
  <si>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</si>
  <si>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</si>
  <si>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</si>
  <si>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</si>
  <si>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</si>
  <si>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</si>
  <si>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</si>
  <si>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</si>
  <si>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</si>
  <si>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</si>
  <si>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</si>
  <si>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</si>
  <si>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</si>
  <si>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</si>
  <si>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</si>
  <si>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</si>
  <si>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</si>
  <si>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</si>
  <si>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</si>
  <si>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</si>
  <si>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</si>
  <si>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</si>
  <si>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</si>
  <si>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</si>
  <si>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</si>
  <si>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</si>
  <si>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</si>
  <si>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</si>
  <si>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</si>
  <si>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</si>
  <si>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</si>
  <si>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</si>
  <si>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</si>
  <si>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</si>
  <si>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</si>
  <si>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</si>
  <si>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</si>
  <si>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</si>
  <si>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</si>
  <si>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</si>
  <si>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</si>
  <si>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</si>
  <si>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</si>
  <si>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</si>
  <si>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</si>
  <si>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</si>
  <si>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</si>
  <si>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</si>
  <si>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</si>
  <si>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</si>
  <si>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</si>
  <si>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</si>
  <si>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</si>
  <si>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</si>
  <si>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</si>
  <si>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</si>
  <si>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</si>
  <si>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</si>
  <si>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</si>
  <si>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</si>
  <si>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</si>
  <si>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</si>
  <si>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</si>
  <si>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</si>
  <si>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</si>
  <si>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</si>
  <si>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</si>
  <si>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</si>
  <si>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</si>
  <si>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</si>
  <si>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</si>
  <si>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</si>
  <si>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</si>
  <si>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</si>
  <si>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</si>
  <si>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</si>
  <si>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</si>
  <si>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</si>
  <si>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</si>
  <si>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</si>
  <si>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</si>
  <si>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</si>
  <si>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</si>
  <si>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</si>
  <si>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</si>
  <si>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</si>
  <si>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</si>
  <si>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</si>
  <si>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</si>
  <si>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</si>
  <si>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</si>
  <si>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</si>
  <si>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</si>
  <si>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</si>
  <si>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</si>
  <si>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</si>
  <si>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</si>
  <si>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</si>
  <si>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</si>
  <si>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</si>
  <si>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</si>
  <si>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</si>
  <si>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</si>
  <si>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</si>
  <si>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</si>
  <si>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</si>
  <si>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</si>
  <si>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</si>
  <si>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</si>
  <si>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</si>
  <si>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</si>
  <si>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</si>
  <si>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</si>
  <si>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</si>
  <si>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</si>
  <si>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</si>
  <si>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</si>
  <si>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</si>
  <si>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</si>
  <si>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</si>
  <si>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</si>
  <si>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</si>
  <si>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</si>
  <si>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</si>
  <si>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</si>
  <si>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</si>
  <si>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</si>
  <si>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</si>
  <si>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</si>
  <si>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</si>
  <si>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</si>
  <si>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</si>
  <si>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</si>
  <si>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</si>
  <si>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</si>
  <si>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</si>
  <si>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</si>
  <si>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</si>
  <si>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</si>
  <si>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</si>
  <si>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</si>
  <si>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</si>
  <si>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</si>
  <si>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</si>
  <si>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</si>
  <si>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</si>
  <si>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</si>
  <si>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</si>
  <si>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</si>
  <si>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</si>
  <si>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</si>
  <si>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</si>
  <si>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</si>
  <si>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</si>
  <si>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</si>
  <si>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</si>
  <si>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</si>
  <si>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</si>
  <si>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</si>
  <si>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</si>
  <si>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</si>
  <si>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</si>
  <si>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</si>
  <si>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</si>
  <si>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</si>
  <si>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</si>
  <si>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</si>
  <si>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</si>
  <si>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</si>
  <si>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</si>
  <si>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</si>
  <si>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</si>
  <si>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</si>
  <si>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</si>
  <si>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</si>
  <si>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</si>
  <si>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</si>
  <si>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</si>
  <si>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</si>
  <si>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</si>
  <si>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</si>
  <si>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</si>
  <si>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</si>
  <si>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</si>
  <si>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</si>
  <si>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</si>
  <si>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</si>
  <si>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</si>
  <si>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</si>
  <si>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</si>
  <si>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</si>
  <si>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</si>
  <si>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</si>
  <si>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</si>
  <si>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</si>
  <si>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</si>
  <si>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</si>
  <si>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</si>
  <si>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</si>
  <si>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</si>
  <si>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</si>
  <si>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</si>
  <si>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</si>
  <si>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</si>
  <si>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</si>
  <si>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</si>
  <si>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</si>
  <si>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</si>
  <si>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</si>
  <si>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</si>
  <si>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</si>
  <si>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</si>
  <si>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</si>
  <si>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</si>
  <si>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</si>
  <si>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</si>
  <si>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</si>
  <si>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</si>
  <si>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</si>
  <si>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</si>
  <si>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</si>
  <si>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</si>
  <si>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</si>
  <si>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</si>
  <si>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</si>
  <si>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</si>
  <si>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</si>
  <si>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</si>
  <si>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</si>
  <si>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</si>
  <si>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</si>
  <si>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</si>
  <si>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</si>
  <si>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</si>
  <si>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</si>
  <si>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</si>
  <si>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</si>
  <si>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</si>
  <si>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</si>
  <si>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</si>
  <si>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</si>
  <si>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</si>
  <si>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</si>
  <si>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</si>
  <si>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</si>
  <si>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</si>
  <si>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</si>
  <si>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</si>
  <si>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</si>
  <si>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</si>
  <si>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</si>
  <si>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</si>
  <si>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</si>
  <si>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</si>
  <si>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</si>
  <si>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</si>
  <si>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</si>
  <si>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</si>
  <si>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</si>
  <si>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</si>
  <si>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</si>
  <si>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</si>
  <si>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</si>
  <si>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</si>
  <si>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</si>
  <si>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</si>
  <si>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</si>
  <si>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</si>
  <si>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</si>
  <si>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</si>
  <si>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</si>
  <si>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</si>
  <si>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</si>
  <si>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</si>
  <si>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</si>
  <si>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</si>
  <si>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</si>
  <si>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</si>
  <si>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</si>
  <si>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</si>
  <si>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</si>
  <si>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</si>
  <si>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</si>
  <si>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</si>
  <si>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</si>
  <si>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</si>
  <si>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</si>
  <si>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</si>
  <si>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</si>
  <si>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</si>
  <si>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</si>
  <si>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</si>
  <si>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</si>
  <si>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</si>
  <si>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</si>
  <si>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</si>
  <si>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</si>
  <si>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</si>
  <si>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</si>
  <si>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</si>
  <si>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</si>
  <si>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</si>
  <si>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</si>
  <si>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</si>
  <si>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</si>
  <si>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</si>
  <si>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</si>
  <si>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</si>
  <si>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</si>
  <si>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</si>
  <si>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</si>
  <si>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</si>
  <si>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</si>
  <si>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</si>
  <si>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</si>
  <si>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</si>
  <si>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</si>
  <si>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</si>
  <si>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</si>
  <si>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</si>
  <si>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</si>
  <si>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</si>
  <si>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</si>
  <si>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</si>
  <si>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</si>
  <si>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</si>
  <si>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</si>
  <si>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</si>
  <si>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</si>
  <si>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</si>
  <si>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</si>
  <si>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</si>
  <si>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</si>
  <si>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</si>
  <si>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</si>
  <si>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</si>
  <si>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</si>
  <si>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</si>
  <si>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</si>
  <si>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</si>
  <si>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</si>
  <si>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</si>
  <si>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</si>
  <si>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</si>
  <si>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</si>
  <si>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</si>
  <si>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</si>
  <si>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</si>
  <si>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</si>
  <si>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</si>
  <si>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</si>
  <si>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</si>
  <si>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</si>
  <si>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</si>
  <si>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</si>
  <si>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</si>
  <si>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</si>
  <si>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</si>
  <si>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</si>
  <si>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</si>
  <si>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</si>
  <si>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</si>
  <si>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</si>
  <si>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</si>
  <si>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</si>
  <si>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</si>
  <si>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</si>
  <si>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</si>
  <si>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</si>
  <si>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</si>
  <si>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</si>
  <si>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</si>
  <si>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</si>
  <si>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</si>
  <si>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</si>
  <si>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</si>
  <si>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</si>
  <si>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</si>
  <si>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</si>
  <si>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</si>
  <si>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</si>
  <si>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</si>
  <si>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</si>
  <si>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</si>
  <si>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</si>
  <si>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</si>
  <si>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</si>
  <si>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</si>
  <si>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</si>
  <si>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</si>
  <si>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</si>
  <si>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</si>
  <si>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</si>
  <si>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</si>
  <si>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</si>
  <si>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</si>
  <si>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</si>
  <si>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</si>
  <si>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</si>
  <si>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</si>
  <si>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</si>
  <si>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</si>
  <si>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</si>
  <si>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</si>
  <si>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</si>
  <si>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</si>
  <si>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</si>
  <si>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</si>
  <si>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</si>
  <si>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</si>
  <si>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</si>
  <si>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</si>
  <si>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</si>
  <si>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</si>
  <si>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</si>
  <si>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</si>
  <si>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</si>
  <si>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</si>
  <si>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</si>
  <si>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</si>
  <si>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</si>
  <si>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</si>
  <si>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</si>
  <si>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</si>
  <si>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</si>
  <si>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</si>
  <si>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</si>
  <si>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</si>
  <si>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</si>
  <si>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</si>
  <si>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</si>
  <si>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</si>
  <si>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</si>
  <si>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</si>
  <si>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</si>
  <si>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</si>
  <si>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</si>
  <si>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</si>
  <si>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</si>
  <si>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</si>
  <si>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</si>
  <si>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</si>
  <si>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</si>
  <si>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</si>
  <si>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</si>
  <si>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</si>
  <si>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</si>
  <si>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</si>
  <si>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</si>
  <si>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</si>
  <si>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</si>
  <si>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</si>
  <si>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</si>
  <si>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</si>
  <si>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</si>
  <si>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</si>
  <si>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</si>
  <si>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</si>
  <si>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</si>
  <si>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</si>
  <si>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</si>
  <si>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</si>
  <si>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</si>
  <si>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</si>
  <si>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</si>
  <si>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</si>
  <si>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</si>
  <si>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</si>
  <si>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</si>
  <si>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</si>
  <si>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</si>
  <si>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</si>
  <si>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</si>
  <si>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</si>
  <si>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</si>
  <si>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</si>
  <si>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</si>
  <si>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</si>
  <si>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</si>
  <si>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</si>
  <si>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</si>
  <si>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</si>
  <si>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</si>
  <si>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</si>
  <si>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</si>
  <si>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</si>
  <si>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</si>
  <si>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</si>
  <si>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</si>
  <si>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</si>
  <si>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</si>
  <si>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</si>
  <si>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</si>
  <si>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</si>
  <si>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</si>
  <si>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</si>
  <si>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</si>
  <si>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</si>
  <si>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</si>
  <si>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</si>
  <si>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</si>
  <si>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</si>
  <si>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</si>
  <si>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</si>
  <si>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</si>
  <si>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</si>
  <si>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</si>
  <si>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</si>
  <si>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</si>
  <si>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</si>
  <si>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</si>
  <si>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</si>
  <si>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</si>
  <si>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</si>
  <si>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</si>
  <si>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</si>
  <si>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</si>
  <si>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</si>
  <si>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</si>
  <si>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</si>
  <si>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</si>
  <si>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</si>
  <si>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</si>
  <si>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</si>
  <si>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</si>
  <si>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</si>
  <si>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</si>
  <si>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</si>
  <si>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</si>
  <si>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</si>
  <si>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</si>
  <si>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</si>
  <si>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</si>
  <si>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</si>
  <si>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</si>
  <si>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</si>
  <si>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</si>
  <si>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</si>
  <si>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</si>
  <si>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</si>
  <si>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</si>
  <si>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</si>
  <si>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</si>
  <si>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</si>
  <si>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</si>
  <si>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</si>
  <si>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</si>
  <si>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</si>
  <si>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</si>
  <si>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</si>
  <si>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</si>
  <si>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</si>
  <si>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</si>
  <si>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</si>
  <si>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</si>
  <si>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</si>
  <si>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</si>
  <si>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</si>
  <si>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</si>
  <si>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</si>
  <si>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</si>
  <si>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</si>
  <si>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</si>
  <si>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</si>
  <si>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</si>
  <si>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</si>
  <si>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</si>
  <si>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</si>
  <si>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</si>
  <si>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</si>
  <si>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</si>
  <si>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</si>
  <si>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</si>
  <si>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</si>
  <si>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</si>
  <si>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</si>
  <si>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</si>
  <si>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</si>
  <si>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</si>
  <si>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</si>
  <si>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</si>
  <si>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</si>
  <si>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</si>
  <si>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</si>
  <si>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</si>
  <si>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</si>
  <si>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</si>
  <si>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</si>
  <si>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</si>
  <si>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</si>
  <si>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</si>
  <si>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</si>
  <si>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</si>
  <si>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</si>
  <si>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</si>
  <si>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</si>
  <si>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</si>
  <si>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</si>
  <si>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</si>
  <si>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</si>
  <si>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</si>
  <si>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</si>
  <si>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</si>
  <si>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</si>
  <si>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</si>
  <si>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</si>
  <si>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</si>
  <si>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</si>
  <si>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</si>
  <si>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</si>
  <si>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</si>
  <si>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</si>
  <si>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</si>
  <si>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</si>
  <si>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</si>
  <si>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</si>
  <si>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</si>
  <si>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</si>
  <si>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</si>
  <si>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</si>
  <si>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</si>
  <si>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</si>
  <si>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</si>
  <si>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</si>
  <si>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</si>
  <si>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</si>
  <si>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</si>
  <si>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</si>
  <si>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</si>
  <si>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</si>
  <si>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</si>
  <si>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</si>
  <si>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</si>
  <si>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</si>
  <si>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</si>
  <si>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</si>
  <si>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</si>
  <si>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</si>
  <si>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</si>
  <si>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</si>
  <si>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</si>
  <si>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</si>
  <si>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</si>
  <si>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</si>
  <si>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</si>
  <si>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</si>
  <si>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</si>
  <si>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</si>
  <si>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</si>
  <si>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</si>
  <si>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</si>
  <si>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</si>
  <si>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</si>
  <si>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</si>
  <si>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</si>
  <si>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</si>
  <si>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</si>
  <si>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</si>
  <si>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</si>
  <si>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</si>
  <si>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</si>
  <si>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</si>
  <si>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</si>
  <si>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</si>
  <si>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</si>
  <si>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</si>
  <si>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</si>
  <si>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</si>
  <si>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</si>
  <si>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</si>
  <si>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</si>
  <si>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</si>
  <si>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</si>
  <si>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</si>
  <si>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</si>
  <si>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</si>
  <si>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</si>
  <si>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</si>
  <si>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</si>
  <si>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</si>
  <si>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</si>
  <si>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</si>
  <si>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</si>
  <si>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</si>
  <si>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</si>
  <si>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</si>
  <si>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</si>
  <si>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</si>
  <si>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</si>
  <si>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</si>
  <si>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</si>
  <si>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</si>
  <si>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</si>
  <si>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</si>
  <si>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</si>
  <si>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</si>
  <si>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</si>
  <si>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</si>
  <si>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</si>
  <si>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</si>
  <si>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</si>
  <si>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</si>
  <si>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</si>
  <si>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</si>
  <si>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</si>
  <si>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</si>
  <si>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</si>
  <si>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</si>
  <si>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</si>
  <si>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</si>
  <si>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</si>
  <si>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</si>
  <si>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</si>
  <si>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</si>
  <si>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</si>
  <si>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</si>
  <si>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</si>
  <si>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</si>
  <si>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</si>
  <si>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</si>
  <si>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</si>
  <si>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</si>
  <si>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</si>
  <si>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</si>
  <si>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</si>
  <si>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</si>
  <si>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</si>
  <si>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</si>
  <si>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</si>
  <si>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</si>
  <si>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</si>
  <si>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</si>
  <si>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</si>
  <si>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</si>
  <si>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</si>
  <si>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</si>
  <si>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</si>
  <si>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</si>
  <si>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</si>
  <si>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</si>
  <si>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</si>
  <si>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</si>
  <si>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</si>
  <si>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</si>
  <si>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</si>
  <si>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</si>
  <si>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</si>
  <si>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</si>
  <si>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</si>
  <si>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</si>
  <si>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</si>
  <si>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</si>
  <si>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</si>
  <si>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</si>
  <si>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</si>
  <si>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</si>
  <si>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</si>
  <si>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</si>
  <si>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</si>
  <si>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</si>
  <si>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</si>
  <si>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</si>
  <si>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</si>
  <si>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</si>
  <si>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</si>
  <si>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</si>
  <si>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</si>
  <si>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</si>
  <si>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</si>
  <si>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</si>
  <si>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</si>
  <si>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</si>
  <si>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</si>
  <si>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</si>
  <si>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</si>
  <si>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</si>
  <si>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</si>
  <si>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</si>
  <si>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</si>
  <si>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</si>
  <si>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</si>
  <si>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</si>
  <si>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</si>
  <si>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</si>
  <si>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</si>
  <si>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</si>
  <si>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</si>
  <si>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</si>
  <si>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</si>
  <si>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</si>
  <si>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</si>
  <si>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</si>
  <si>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</si>
  <si>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</si>
  <si>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</si>
  <si>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</si>
  <si>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</si>
  <si>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</si>
  <si>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</si>
  <si>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</si>
  <si>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</si>
  <si>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</si>
  <si>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</si>
  <si>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</si>
  <si>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</si>
  <si>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</si>
  <si>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</si>
  <si>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</si>
  <si>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</si>
  <si>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</si>
  <si>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</si>
  <si>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</si>
  <si>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</si>
  <si>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</si>
  <si>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</si>
  <si>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</si>
  <si>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</si>
  <si>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</si>
  <si>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</si>
  <si>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</si>
  <si>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</si>
  <si>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</si>
  <si>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</si>
  <si>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</si>
  <si>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</si>
  <si>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</si>
  <si>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</si>
  <si>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</si>
  <si>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</si>
  <si>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</si>
  <si>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</si>
  <si>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</si>
  <si>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</si>
  <si>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</si>
  <si>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</si>
  <si>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</si>
  <si>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</si>
  <si>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</si>
  <si>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</si>
  <si>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</si>
  <si>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</si>
  <si>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</si>
  <si>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</si>
  <si>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</si>
  <si>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</si>
  <si>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</si>
  <si>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</si>
  <si>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</si>
  <si>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</si>
  <si>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</si>
  <si>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</si>
  <si>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</si>
  <si>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</si>
  <si>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</si>
  <si>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</si>
  <si>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</si>
  <si>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</si>
  <si>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</si>
  <si>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</si>
  <si>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</si>
  <si>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</si>
  <si>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</si>
  <si>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</si>
  <si>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</si>
  <si>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</si>
  <si>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</si>
  <si>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</si>
  <si>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</si>
  <si>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</si>
  <si>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</si>
  <si>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</si>
  <si>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</si>
  <si>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</si>
  <si>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</si>
  <si>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</si>
  <si>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</si>
  <si>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</si>
  <si>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</si>
  <si>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</si>
  <si>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</si>
  <si>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</si>
  <si>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</si>
  <si>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</si>
  <si>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</si>
  <si>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</si>
  <si>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</si>
  <si>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</si>
  <si>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</si>
  <si>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</si>
  <si>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</si>
  <si>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</si>
  <si>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</si>
  <si>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</si>
  <si>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</si>
  <si>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</si>
  <si>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</si>
  <si>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</si>
  <si>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</si>
  <si>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</si>
  <si>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</si>
  <si>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</si>
  <si>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</si>
  <si>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</si>
  <si>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</si>
  <si>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</si>
  <si>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</si>
  <si>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</si>
  <si>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</si>
  <si>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</si>
  <si>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</si>
  <si>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</si>
  <si>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</si>
  <si>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</si>
  <si>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</si>
  <si>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</si>
  <si>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</si>
  <si>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</si>
  <si>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</si>
  <si>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</si>
  <si>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</si>
  <si>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</si>
  <si>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</si>
  <si>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</si>
  <si>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</si>
  <si>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</si>
  <si>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</si>
  <si>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</si>
  <si>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</si>
  <si>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</si>
  <si>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</si>
  <si>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</si>
  <si>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</si>
  <si>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</si>
  <si>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</si>
  <si>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</si>
  <si>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</si>
  <si>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</si>
  <si>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</si>
  <si>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</si>
  <si>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</si>
  <si>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</si>
  <si>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</si>
  <si>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</si>
  <si>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</si>
  <si>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</si>
  <si>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</si>
  <si>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</si>
  <si>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</si>
  <si>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</si>
  <si>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</si>
  <si>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</si>
  <si>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</si>
  <si>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</si>
  <si>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</si>
  <si>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</si>
  <si>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</si>
  <si>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</si>
  <si>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</si>
  <si>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</si>
  <si>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</si>
  <si>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</si>
  <si>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</si>
  <si>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</si>
  <si>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</si>
  <si>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</si>
  <si>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</si>
  <si>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</si>
  <si>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</si>
  <si>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</si>
  <si>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</si>
  <si>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</si>
  <si>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</si>
  <si>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</si>
  <si>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</si>
  <si>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</si>
  <si>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</si>
  <si>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</si>
  <si>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</si>
  <si>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</si>
  <si>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</si>
  <si>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</si>
  <si>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</si>
  <si>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</si>
  <si>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</si>
  <si>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</si>
  <si>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</si>
  <si>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</si>
  <si>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</si>
  <si>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</si>
  <si>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</si>
  <si>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</si>
  <si>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</si>
  <si>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</si>
  <si>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</si>
  <si>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</si>
  <si>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</si>
  <si>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</si>
  <si>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</si>
  <si>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</si>
  <si>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</si>
  <si>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</si>
  <si>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</si>
  <si>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</si>
  <si>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</si>
  <si>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</si>
  <si>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</si>
  <si>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</si>
  <si>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</si>
  <si>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</si>
  <si>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</si>
  <si>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</si>
  <si>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</si>
  <si>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</si>
  <si>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</si>
  <si>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</si>
  <si>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</si>
  <si>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</si>
  <si>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</si>
  <si>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</si>
  <si>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</si>
  <si>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</si>
  <si>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</si>
  <si>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</si>
  <si>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</si>
  <si>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</si>
  <si>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</si>
  <si>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</si>
  <si>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</si>
  <si>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</si>
  <si>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</si>
  <si>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</si>
  <si>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</si>
  <si>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</si>
  <si>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</si>
  <si>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</si>
  <si>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</si>
  <si>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</si>
  <si>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</si>
  <si>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</si>
  <si>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</si>
  <si>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</si>
  <si>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</si>
  <si>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</si>
  <si>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</si>
  <si>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</si>
  <si>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</si>
  <si>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</si>
  <si>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</si>
  <si>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</si>
  <si>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</si>
  <si>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</si>
  <si>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</si>
  <si>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</si>
  <si>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</si>
  <si>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</si>
  <si>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</si>
  <si>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</si>
  <si>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</si>
  <si>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</si>
  <si>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</si>
  <si>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</si>
  <si>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</si>
  <si>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</si>
  <si>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</si>
  <si>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</si>
  <si>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</si>
  <si>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</si>
  <si>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</si>
  <si>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</si>
  <si>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</si>
  <si>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</si>
  <si>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</si>
  <si>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</si>
  <si>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</si>
  <si>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</si>
  <si>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</si>
  <si>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</si>
  <si>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</si>
  <si>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</si>
  <si>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</si>
  <si>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</si>
  <si>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</si>
  <si>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</si>
  <si>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</si>
  <si>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</si>
  <si>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</si>
  <si>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</si>
  <si>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</si>
  <si>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</si>
  <si>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</si>
  <si>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</si>
  <si>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</si>
  <si>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</si>
  <si>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</si>
  <si>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</si>
  <si>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</si>
  <si>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</si>
  <si>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</si>
  <si>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</si>
  <si>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</si>
  <si>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</si>
  <si>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</si>
  <si>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</si>
  <si>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</si>
  <si>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</si>
  <si>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</si>
  <si>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</si>
  <si>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</si>
  <si>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</si>
  <si>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</si>
  <si>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</si>
  <si>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</si>
  <si>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</si>
  <si>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</si>
  <si>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</si>
  <si>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</si>
  <si>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</si>
  <si>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</si>
  <si>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</si>
  <si>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</si>
  <si>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</si>
  <si>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</si>
  <si>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</si>
  <si>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</si>
  <si>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</si>
  <si>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</si>
  <si>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</si>
  <si>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</si>
  <si>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</si>
  <si>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</si>
  <si>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</si>
  <si>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</si>
  <si>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</si>
  <si>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</si>
  <si>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</si>
  <si>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</si>
  <si>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</si>
  <si>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</si>
  <si>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</si>
  <si>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</si>
  <si>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</si>
  <si>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</si>
  <si>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</si>
  <si>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</si>
  <si>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</si>
  <si>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</si>
  <si>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</si>
  <si>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</si>
  <si>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</si>
  <si>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</si>
  <si>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</si>
  <si>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</si>
  <si>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</si>
  <si>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</si>
  <si>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</si>
  <si>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</si>
  <si>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</si>
  <si>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</si>
  <si>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</si>
  <si>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</si>
  <si>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</si>
  <si>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</si>
  <si>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</si>
  <si>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</si>
  <si>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</si>
  <si>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</si>
  <si>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</si>
  <si>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</si>
  <si>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</si>
  <si>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</si>
  <si>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</si>
  <si>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</si>
  <si>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</si>
  <si>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</si>
  <si>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</si>
  <si>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</si>
  <si>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</si>
  <si>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</si>
  <si>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</si>
  <si>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</si>
  <si>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</si>
  <si>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</si>
  <si>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</si>
  <si>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</si>
  <si>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</si>
  <si>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</si>
  <si>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</si>
  <si>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</si>
  <si>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</si>
  <si>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</si>
  <si>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</si>
  <si>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</si>
  <si>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</si>
  <si>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</si>
  <si>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</si>
  <si>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</si>
  <si>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</si>
  <si>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</si>
  <si>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</si>
  <si>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</si>
  <si>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</si>
  <si>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</si>
  <si>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</si>
  <si>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</si>
  <si>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</si>
  <si>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</si>
  <si>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</si>
  <si>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</si>
  <si>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</si>
  <si>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</si>
  <si>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</si>
  <si>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</si>
  <si>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</si>
  <si>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</si>
  <si>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</si>
  <si>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</si>
  <si>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</si>
  <si>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</si>
  <si>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</si>
  <si>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</si>
  <si>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</si>
  <si>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</si>
  <si>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</si>
  <si>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</si>
  <si>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</si>
  <si>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</si>
  <si>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</si>
  <si>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</si>
  <si>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</si>
  <si>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</si>
  <si>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</si>
  <si>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</si>
  <si>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</si>
  <si>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</si>
  <si>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</si>
  <si>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</si>
  <si>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</si>
  <si>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</si>
  <si>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</si>
  <si>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</si>
  <si>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</si>
  <si>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</si>
  <si>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</si>
  <si>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</si>
  <si>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</si>
  <si>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</si>
  <si>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</si>
  <si>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</si>
  <si>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</si>
  <si>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</si>
  <si>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</si>
  <si>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</si>
  <si>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</si>
  <si>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</si>
  <si>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</si>
  <si>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</si>
  <si>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</si>
  <si>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</si>
  <si>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</si>
  <si>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</si>
  <si>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</si>
  <si>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</si>
  <si>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</si>
  <si>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</si>
  <si>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</si>
  <si>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</si>
  <si>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</si>
  <si>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</si>
  <si>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</si>
  <si>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</si>
  <si>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</si>
  <si>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</si>
  <si>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</si>
  <si>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</si>
  <si>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</si>
  <si>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</si>
  <si>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</si>
  <si>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</si>
  <si>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</si>
  <si>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</si>
  <si>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</si>
  <si>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</si>
  <si>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</si>
  <si>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</si>
  <si>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</si>
  <si>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</si>
  <si>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</si>
  <si>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</si>
  <si>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</si>
  <si>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</si>
  <si>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</si>
  <si>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</si>
  <si>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</si>
  <si>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</si>
  <si>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</si>
  <si>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</si>
  <si>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</si>
  <si>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</si>
  <si>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</si>
  <si>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</si>
  <si>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</si>
  <si>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</si>
  <si>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</si>
  <si>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</si>
  <si>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</si>
  <si>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</si>
  <si>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</si>
  <si>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</si>
  <si>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</si>
  <si>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</si>
  <si>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</si>
  <si>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</si>
  <si>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</si>
  <si>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</si>
  <si>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</si>
  <si>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</si>
  <si>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</si>
  <si>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</si>
  <si>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</si>
  <si>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</si>
  <si>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</si>
  <si>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</si>
  <si>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</si>
  <si>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</si>
  <si>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</si>
  <si>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</si>
  <si>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</si>
  <si>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</si>
  <si>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</si>
  <si>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</si>
  <si>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</si>
  <si>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</si>
  <si>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</si>
  <si>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</si>
  <si>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</si>
  <si>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</si>
  <si>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</si>
  <si>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</si>
  <si>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</si>
  <si>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</si>
  <si>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</si>
  <si>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</si>
  <si>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</si>
  <si>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</si>
  <si>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</si>
  <si>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</si>
  <si>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</si>
  <si>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</si>
  <si>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</si>
  <si>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</si>
  <si>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</si>
  <si>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</si>
  <si>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</si>
  <si>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</si>
  <si>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</si>
  <si>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</si>
  <si>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</si>
  <si>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</si>
  <si>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</si>
  <si>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</si>
  <si>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</si>
  <si>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</si>
  <si>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</si>
  <si>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</si>
  <si>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</si>
  <si>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</si>
  <si>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</si>
  <si>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</si>
  <si>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</si>
  <si>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</si>
  <si>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</si>
  <si>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</si>
  <si>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</si>
  <si>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</si>
  <si>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</si>
  <si>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</si>
  <si>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</si>
  <si>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</si>
  <si>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</si>
  <si>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</si>
  <si>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</si>
  <si>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</si>
  <si>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</si>
  <si>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</si>
  <si>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</si>
  <si>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</si>
  <si>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</si>
  <si>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</si>
  <si>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</si>
  <si>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</si>
  <si>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</si>
  <si>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</si>
  <si>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</si>
  <si>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</si>
  <si>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</si>
  <si>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</si>
  <si>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</si>
  <si>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</si>
  <si>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</si>
  <si>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</si>
  <si>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</si>
  <si>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</si>
  <si>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</si>
  <si>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</si>
  <si>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</si>
  <si>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</si>
  <si>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</si>
  <si>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</si>
  <si>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</si>
  <si>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</si>
  <si>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</si>
  <si>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</si>
  <si>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</si>
  <si>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</si>
  <si>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</si>
  <si>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</si>
  <si>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</si>
  <si>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</si>
  <si>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</si>
  <si>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</si>
  <si>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</si>
  <si>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</si>
  <si>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</si>
  <si>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</si>
  <si>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</si>
  <si>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</si>
  <si>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</si>
  <si>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</si>
  <si>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</si>
  <si>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</si>
  <si>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</si>
  <si>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</si>
  <si>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</si>
  <si>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</si>
  <si>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</si>
  <si>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</si>
  <si>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</si>
  <si>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</si>
  <si>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</si>
  <si>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</si>
  <si>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</si>
  <si>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</si>
  <si>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</si>
  <si>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</si>
  <si>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</si>
  <si>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</si>
  <si>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</si>
  <si>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</si>
  <si>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</si>
  <si>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</si>
  <si>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</si>
  <si>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</si>
  <si>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</si>
  <si>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</si>
  <si>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</si>
  <si>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</si>
  <si>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</si>
  <si>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</si>
  <si>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</si>
  <si>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</si>
  <si>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</si>
  <si>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</si>
  <si>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</si>
  <si>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</si>
  <si>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</si>
  <si>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</si>
  <si>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</si>
  <si>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</si>
  <si>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</si>
  <si>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</si>
  <si>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</si>
  <si>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</si>
  <si>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</si>
  <si>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</si>
  <si>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</si>
  <si>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</si>
  <si>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</si>
  <si>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</si>
  <si>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</si>
  <si>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</si>
  <si>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</si>
  <si>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</si>
  <si>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</si>
  <si>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</si>
  <si>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</si>
  <si>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</si>
  <si>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</si>
  <si>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</si>
  <si>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</si>
  <si>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</si>
  <si>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</si>
  <si>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</si>
  <si>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</si>
  <si>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</si>
  <si>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</si>
  <si>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</si>
  <si>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</si>
  <si>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</si>
  <si>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</si>
  <si>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</si>
  <si>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</si>
  <si>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</si>
  <si>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</si>
  <si>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</si>
  <si>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</si>
  <si>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</si>
  <si>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</si>
  <si>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</si>
  <si>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</si>
  <si>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</si>
  <si>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</si>
  <si>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</si>
  <si>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</si>
  <si>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</si>
  <si>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</si>
  <si>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</si>
  <si>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</si>
  <si>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</si>
  <si>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</si>
  <si>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</si>
  <si>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</si>
  <si>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</si>
  <si>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</si>
  <si>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</si>
  <si>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</si>
  <si>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</si>
  <si>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</si>
  <si>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</si>
  <si>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</si>
  <si>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</si>
  <si>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</si>
  <si>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</si>
  <si>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</si>
  <si>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</si>
  <si>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</si>
  <si>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</si>
  <si>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</si>
  <si>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</si>
  <si>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</si>
  <si>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</si>
  <si>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</si>
  <si>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</si>
  <si>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</si>
  <si>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</si>
  <si>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</si>
  <si>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</si>
  <si>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</si>
  <si>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</si>
  <si>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</si>
  <si>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</si>
  <si>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</si>
  <si>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</si>
  <si>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</si>
  <si>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</si>
  <si>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</si>
  <si>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</si>
  <si>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</si>
  <si>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</si>
  <si>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</si>
  <si>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</si>
  <si>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</si>
  <si>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</si>
  <si>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</si>
  <si>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</si>
  <si>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</si>
  <si>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</si>
  <si>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</si>
  <si>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</si>
  <si>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</si>
  <si>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</si>
  <si>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</si>
  <si>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</si>
  <si>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</si>
  <si>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</si>
  <si>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</si>
  <si>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</si>
  <si>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</si>
  <si>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</si>
  <si>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</si>
  <si>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</si>
  <si>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</si>
  <si>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</si>
  <si>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</si>
  <si>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</si>
  <si>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</si>
  <si>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</si>
  <si>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</si>
  <si>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</si>
  <si>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</si>
  <si>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</si>
  <si>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</si>
  <si>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</si>
  <si>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</si>
  <si>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</si>
  <si>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</si>
  <si>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</si>
  <si>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</si>
  <si>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</si>
  <si>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</si>
  <si>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</si>
  <si>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</si>
  <si>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</si>
  <si>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</si>
  <si>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</si>
  <si>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</si>
  <si>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</si>
  <si>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</si>
  <si>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</si>
  <si>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</si>
  <si>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</si>
  <si>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</si>
  <si>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</si>
  <si>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</si>
  <si>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</si>
  <si>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</si>
  <si>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</si>
  <si>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</si>
  <si>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</si>
  <si>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</si>
  <si>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</si>
  <si>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</si>
  <si>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</si>
  <si>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</si>
  <si>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</si>
  <si>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</si>
  <si>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</si>
  <si>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</si>
  <si>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</si>
  <si>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</si>
  <si>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</si>
  <si>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</si>
  <si>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</si>
  <si>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</si>
  <si>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</si>
  <si>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</si>
  <si>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</si>
  <si>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</si>
  <si>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</si>
  <si>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</si>
  <si>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</si>
  <si>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</si>
  <si>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</si>
  <si>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</si>
  <si>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</si>
  <si>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</si>
  <si>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</si>
  <si>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</si>
  <si>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</si>
  <si>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</si>
  <si>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</si>
  <si>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</si>
  <si>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</si>
  <si>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</si>
  <si>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</si>
  <si>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</si>
  <si>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</si>
  <si>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</si>
  <si>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</si>
  <si>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</si>
  <si>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</si>
  <si>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</si>
  <si>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</si>
  <si>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</si>
  <si>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</si>
  <si>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</si>
  <si>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</si>
  <si>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</si>
  <si>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</si>
  <si>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</si>
  <si>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</si>
  <si>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</si>
  <si>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</si>
  <si>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</si>
  <si>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</si>
  <si>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</si>
  <si>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</si>
  <si>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</si>
  <si>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</si>
  <si>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</si>
  <si>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</si>
  <si>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</si>
  <si>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</si>
  <si>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</si>
  <si>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</si>
  <si>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</si>
  <si>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</si>
  <si>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</si>
  <si>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</si>
  <si>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</si>
  <si>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</si>
  <si>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</si>
  <si>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</si>
  <si>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</si>
  <si>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</si>
  <si>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</si>
  <si>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</si>
  <si>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</si>
  <si>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</si>
  <si>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</si>
  <si>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</si>
  <si>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</si>
  <si>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</si>
  <si>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</si>
  <si>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</si>
  <si>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</si>
  <si>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</si>
  <si>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</si>
  <si>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</si>
  <si>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</si>
  <si>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</si>
  <si>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</si>
  <si>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</si>
  <si>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</si>
  <si>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</si>
  <si>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</si>
  <si>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</si>
  <si>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</si>
  <si>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</si>
  <si>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</si>
  <si>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</si>
  <si>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</si>
  <si>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</si>
  <si>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</si>
  <si>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</si>
  <si>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</si>
  <si>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</si>
  <si>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</si>
  <si>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</si>
  <si>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</si>
  <si>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</si>
  <si>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</si>
  <si>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</si>
  <si>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</si>
  <si>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</si>
  <si>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</si>
  <si>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</si>
  <si>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</si>
  <si>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</si>
  <si>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</si>
  <si>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</si>
  <si>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</si>
  <si>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</si>
  <si>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</si>
  <si>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</si>
  <si>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</si>
  <si>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</si>
  <si>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</si>
  <si>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</si>
  <si>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</si>
  <si>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</si>
  <si>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</si>
  <si>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</si>
  <si>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</si>
  <si>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</si>
  <si>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</si>
  <si>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</si>
  <si>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</si>
  <si>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</si>
  <si>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</si>
  <si>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</si>
  <si>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</si>
  <si>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</si>
  <si>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</si>
  <si>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</si>
  <si>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</si>
  <si>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</si>
  <si>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</si>
  <si>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</si>
  <si>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</si>
  <si>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</si>
  <si>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</si>
  <si>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</si>
  <si>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</si>
  <si>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</si>
  <si>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</si>
  <si>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</si>
  <si>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</si>
  <si>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</si>
  <si>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</si>
  <si>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</si>
  <si>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</si>
  <si>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</si>
  <si>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</si>
  <si>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</si>
  <si>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</si>
  <si>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</si>
  <si>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</si>
  <si>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</si>
  <si>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</si>
  <si>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</si>
  <si>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</si>
  <si>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</si>
  <si>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</si>
  <si>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</si>
  <si>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</si>
  <si>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</si>
  <si>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</si>
  <si>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</si>
  <si>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</si>
  <si>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</si>
  <si>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</si>
  <si>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</si>
  <si>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</si>
  <si>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</si>
  <si>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</si>
  <si>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</si>
  <si>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</si>
  <si>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</si>
  <si>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</si>
  <si>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</si>
  <si>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</si>
  <si>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</si>
  <si>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</si>
  <si>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</si>
  <si>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</si>
  <si>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</si>
  <si>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</si>
  <si>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</si>
  <si>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</si>
  <si>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</si>
  <si>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</si>
  <si>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</si>
  <si>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</si>
  <si>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</si>
  <si>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</si>
  <si>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</si>
  <si>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</si>
  <si>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</si>
  <si>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</si>
  <si>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</si>
  <si>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</si>
  <si>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</si>
  <si>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</si>
  <si>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</si>
  <si>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</si>
  <si>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</si>
  <si>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</si>
  <si>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</si>
  <si>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</si>
  <si>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</si>
  <si>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</si>
  <si>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</si>
  <si>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</si>
  <si>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</si>
  <si>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</si>
  <si>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</si>
  <si>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</si>
  <si>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</si>
  <si>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</si>
  <si>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</si>
  <si>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</si>
  <si>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</si>
  <si>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</si>
  <si>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</si>
  <si>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</si>
  <si>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</si>
  <si>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</si>
  <si>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</si>
  <si>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</si>
  <si>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</si>
  <si>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</si>
  <si>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</si>
  <si>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</si>
  <si>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</si>
  <si>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</si>
  <si>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</si>
  <si>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</si>
  <si>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</si>
  <si>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</si>
  <si>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</si>
  <si>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</si>
  <si>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</si>
  <si>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</si>
  <si>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</si>
  <si>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</si>
  <si>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</si>
  <si>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</si>
  <si>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</si>
  <si>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</si>
  <si>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</si>
  <si>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</si>
  <si>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</si>
  <si>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</si>
  <si>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</si>
  <si>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</si>
  <si>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</si>
  <si>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</si>
  <si>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</si>
  <si>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</si>
  <si>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</si>
  <si>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</si>
  <si>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</si>
  <si>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</si>
  <si>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</si>
  <si>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</si>
  <si>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</si>
  <si>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</si>
  <si>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</si>
  <si>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</si>
  <si>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</si>
  <si>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</si>
  <si>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</si>
  <si>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</si>
  <si>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</si>
  <si>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</si>
  <si>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</si>
  <si>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</si>
  <si>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</si>
  <si>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</si>
  <si>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</si>
  <si>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</si>
  <si>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</si>
  <si>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</si>
  <si>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</si>
  <si>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</si>
  <si>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</si>
  <si>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</si>
  <si>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</si>
  <si>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</si>
  <si>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</si>
  <si>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</si>
  <si>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</si>
  <si>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</si>
  <si>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</si>
  <si>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</si>
  <si>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</si>
  <si>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</si>
  <si>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</si>
  <si>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</si>
  <si>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</si>
  <si>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</si>
  <si>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</si>
  <si>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</si>
  <si>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</si>
  <si>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</si>
  <si>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</si>
  <si>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</si>
  <si>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</si>
  <si>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</si>
  <si>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</si>
  <si>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</si>
  <si>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</si>
  <si>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</si>
  <si>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</si>
  <si>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</si>
  <si>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</si>
  <si>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</si>
  <si>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</si>
  <si>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</si>
  <si>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</si>
  <si>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</si>
  <si>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</si>
  <si>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</si>
  <si>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</si>
  <si>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</si>
  <si>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</si>
  <si>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</si>
  <si>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</si>
  <si>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</si>
  <si>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</si>
  <si>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</si>
  <si>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</si>
  <si>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</si>
  <si>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</si>
  <si>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</si>
  <si>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</si>
  <si>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</si>
  <si>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</si>
  <si>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</si>
  <si>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</si>
  <si>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</si>
  <si>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</si>
  <si>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</si>
  <si>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</si>
  <si>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</si>
  <si>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</si>
  <si>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</si>
  <si>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</si>
  <si>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</si>
  <si>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</si>
  <si>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</si>
  <si>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</si>
  <si>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</si>
  <si>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</si>
  <si>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</si>
  <si>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</si>
  <si>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</si>
  <si>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</si>
  <si>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</si>
  <si>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</si>
  <si>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</si>
  <si>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</si>
  <si>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</si>
  <si>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</si>
  <si>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</si>
  <si>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</si>
  <si>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</si>
  <si>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</si>
  <si>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</si>
  <si>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</si>
  <si>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</si>
  <si>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</si>
  <si>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</si>
  <si>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</si>
  <si>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</si>
  <si>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</si>
  <si>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</si>
  <si>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</si>
  <si>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</si>
  <si>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</si>
  <si>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</si>
  <si>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</si>
  <si>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</si>
  <si>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</si>
  <si>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</si>
  <si>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</si>
  <si>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</si>
  <si>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</si>
  <si>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</si>
  <si>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</si>
  <si>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</si>
  <si>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</si>
  <si>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</si>
  <si>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</si>
  <si>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</si>
  <si>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</si>
  <si>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</si>
  <si>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</si>
  <si>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</si>
  <si>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</si>
  <si>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</si>
  <si>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</si>
  <si>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</si>
  <si>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</si>
  <si>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</si>
  <si>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</si>
  <si>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</si>
  <si>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</si>
  <si>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</si>
  <si>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</si>
  <si>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</si>
  <si>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</si>
  <si>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</si>
  <si>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</si>
  <si>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</si>
  <si>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</si>
  <si>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</si>
  <si>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</si>
  <si>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</si>
  <si>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</si>
  <si>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</si>
  <si>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</si>
  <si>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</si>
  <si>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</si>
  <si>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</si>
  <si>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</si>
  <si>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</si>
  <si>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</si>
  <si>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</si>
  <si>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</si>
  <si>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</si>
  <si>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</si>
  <si>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</si>
  <si>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</si>
  <si>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</si>
  <si>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</si>
  <si>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</si>
  <si>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</si>
  <si>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</si>
  <si>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</si>
  <si>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</si>
  <si>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</si>
  <si>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</si>
  <si>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</si>
  <si>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</si>
  <si>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</si>
  <si>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</si>
  <si>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</si>
  <si>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</si>
  <si>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</si>
  <si>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</si>
  <si>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</si>
  <si>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</si>
  <si>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</si>
  <si>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</si>
  <si>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</si>
  <si>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</si>
  <si>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</si>
  <si>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</si>
  <si>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</si>
  <si>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</si>
  <si>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</si>
  <si>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</si>
  <si>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</si>
  <si>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</si>
  <si>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</si>
  <si>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</si>
  <si>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</si>
  <si>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</si>
  <si>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</si>
  <si>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</si>
  <si>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</si>
  <si>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</si>
  <si>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</si>
  <si>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</si>
  <si>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</si>
  <si>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</si>
  <si>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</si>
  <si>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</si>
  <si>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</si>
  <si>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</si>
  <si>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</si>
  <si>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</si>
  <si>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</si>
  <si>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</si>
  <si>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</si>
  <si>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</si>
  <si>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</si>
  <si>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</si>
  <si>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</si>
  <si>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</si>
  <si>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</si>
  <si>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</si>
  <si>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</si>
  <si>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</si>
  <si>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</si>
  <si>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</si>
  <si>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</si>
  <si>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</si>
  <si>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</si>
  <si>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</si>
  <si>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</si>
  <si>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</si>
  <si>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</si>
  <si>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</si>
  <si>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</si>
  <si>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</si>
  <si>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</si>
  <si>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</si>
  <si>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</si>
  <si>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</si>
  <si>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</si>
  <si>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</si>
  <si>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</si>
  <si>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</si>
  <si>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</si>
  <si>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</si>
  <si>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</si>
  <si>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</si>
  <si>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</si>
  <si>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</si>
  <si>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</si>
  <si>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</si>
  <si>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</si>
  <si>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</si>
  <si>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</si>
  <si>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</si>
  <si>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</si>
  <si>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</si>
  <si>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</si>
  <si>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</si>
  <si>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</si>
  <si>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</si>
  <si>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</si>
  <si>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</si>
  <si>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</si>
  <si>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</si>
  <si>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</si>
  <si>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</si>
  <si>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</si>
  <si>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</si>
  <si>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</si>
  <si>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</si>
  <si>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</si>
  <si>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</si>
  <si>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</si>
  <si>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</si>
  <si>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</si>
  <si>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</si>
  <si>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</si>
  <si>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</si>
  <si>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</si>
  <si>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</si>
  <si>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</si>
  <si>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</si>
  <si>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</si>
  <si>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</si>
  <si>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</si>
  <si>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</si>
  <si>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</si>
  <si>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</si>
  <si>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</si>
  <si>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</si>
  <si>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</si>
  <si>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</si>
  <si>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</si>
  <si>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</si>
  <si>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</si>
  <si>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</si>
  <si>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</si>
  <si>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</si>
  <si>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</si>
  <si>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</si>
  <si>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</si>
  <si>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</si>
  <si>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</si>
  <si>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</si>
  <si>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</si>
  <si>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</si>
  <si>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</si>
  <si>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</si>
  <si>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</si>
  <si>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</si>
  <si>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</si>
  <si>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</si>
  <si>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</si>
  <si>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</si>
  <si>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</si>
  <si>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</si>
  <si>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</si>
  <si>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</si>
  <si>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</si>
  <si>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</si>
  <si>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</si>
  <si>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</si>
  <si>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</si>
  <si>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</si>
  <si>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</si>
  <si>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</si>
  <si>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</si>
  <si>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</si>
  <si>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</si>
  <si>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</si>
  <si>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</si>
  <si>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</si>
  <si>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</si>
  <si>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</si>
  <si>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</si>
  <si>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</si>
  <si>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</si>
  <si>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</si>
  <si>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</si>
  <si>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</si>
  <si>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</si>
  <si>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</si>
  <si>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</si>
  <si>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</si>
  <si>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</si>
  <si>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</si>
  <si>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</si>
  <si>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</si>
  <si>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</si>
  <si>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</si>
  <si>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</si>
  <si>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</si>
  <si>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</si>
  <si>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</si>
  <si>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</si>
  <si>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</si>
  <si>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</si>
  <si>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</si>
  <si>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</si>
  <si>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</si>
  <si>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</si>
  <si>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</si>
  <si>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</si>
  <si>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</si>
  <si>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</si>
  <si>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</si>
  <si>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</si>
  <si>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</si>
  <si>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</si>
  <si>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</si>
  <si>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</si>
  <si>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</si>
  <si>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</si>
  <si>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</si>
  <si>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</si>
  <si>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</si>
  <si>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</si>
  <si>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</si>
  <si>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</si>
  <si>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</si>
  <si>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</si>
  <si>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</si>
  <si>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</si>
  <si>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</si>
  <si>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</si>
  <si>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</si>
  <si>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</si>
  <si>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</si>
  <si>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</si>
  <si>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</si>
  <si>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</si>
  <si>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</si>
  <si>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</si>
  <si>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</si>
  <si>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</si>
  <si>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</si>
  <si>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</si>
  <si>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</si>
  <si>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</si>
  <si>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</si>
  <si>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</si>
  <si>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</si>
  <si>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</si>
  <si>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</si>
  <si>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</si>
  <si>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</si>
  <si>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</si>
  <si>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</si>
  <si>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</si>
  <si>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</si>
  <si>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</si>
  <si>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</si>
  <si>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</si>
  <si>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</si>
  <si>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</si>
  <si>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</si>
  <si>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</si>
  <si>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</si>
  <si>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</si>
  <si>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</si>
  <si>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</si>
  <si>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</si>
  <si>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</si>
  <si>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</si>
  <si>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</si>
  <si>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</si>
  <si>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</si>
  <si>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</si>
  <si>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</si>
  <si>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</si>
  <si>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</si>
  <si>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</si>
  <si>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</si>
  <si>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</si>
  <si>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</si>
  <si>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</si>
  <si>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</si>
  <si>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</si>
  <si>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</si>
  <si>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</si>
  <si>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</si>
  <si>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</si>
  <si>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</si>
  <si>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</si>
  <si>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</si>
  <si>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</si>
  <si>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</si>
  <si>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</si>
  <si>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</si>
  <si>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</si>
  <si>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</si>
  <si>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</si>
  <si>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</si>
  <si>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</si>
  <si>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</si>
  <si>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</si>
  <si>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</si>
  <si>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</si>
  <si>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</si>
  <si>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</si>
  <si>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</si>
  <si>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</si>
  <si>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</si>
  <si>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</si>
  <si>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</si>
  <si>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</si>
  <si>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</si>
  <si>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</si>
  <si>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</si>
  <si>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</si>
  <si>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</si>
  <si>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</si>
  <si>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</si>
  <si>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</si>
  <si>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</si>
  <si>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</si>
  <si>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</si>
  <si>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</si>
  <si>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</si>
  <si>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</si>
  <si>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</si>
  <si>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</si>
  <si>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</si>
  <si>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</si>
  <si>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</si>
  <si>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</si>
  <si>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</si>
  <si>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</si>
  <si>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</si>
  <si>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</si>
  <si>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</si>
  <si>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</si>
  <si>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</si>
  <si>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</si>
  <si>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</si>
  <si>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</si>
  <si>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</si>
  <si>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</si>
  <si>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</si>
  <si>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</si>
  <si>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</si>
  <si>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</si>
  <si>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</si>
  <si>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</si>
  <si>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</si>
  <si>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</si>
  <si>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</si>
  <si>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</si>
  <si>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</si>
  <si>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</si>
  <si>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</si>
  <si>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</si>
  <si>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</si>
  <si>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</si>
  <si>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</si>
  <si>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</si>
  <si>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</si>
  <si>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</si>
  <si>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</si>
  <si>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</si>
  <si>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</si>
  <si>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</si>
  <si>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</si>
  <si>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</si>
  <si>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</si>
  <si>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</si>
  <si>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</si>
  <si>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</si>
  <si>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</si>
  <si>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</si>
  <si>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</si>
  <si>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</si>
  <si>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</si>
  <si>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</si>
  <si>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</si>
  <si>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</si>
  <si>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</si>
  <si>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</si>
  <si>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</si>
  <si>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</si>
  <si>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</si>
  <si>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</si>
  <si>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</si>
  <si>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</si>
  <si>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</si>
  <si>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</si>
  <si>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</si>
  <si>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</si>
  <si>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</si>
  <si>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</si>
  <si>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</si>
  <si>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</si>
  <si>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</si>
  <si>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</si>
  <si>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</si>
  <si>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</si>
  <si>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</si>
  <si>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</si>
  <si>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</si>
  <si>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</si>
  <si>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</si>
  <si>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</si>
  <si>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</si>
  <si>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</si>
  <si>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</si>
  <si>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</si>
  <si>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</si>
  <si>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</si>
  <si>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</si>
  <si>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</si>
  <si>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</si>
  <si>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</si>
  <si>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</si>
  <si>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</si>
  <si>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</si>
  <si>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</si>
  <si>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</si>
  <si>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</si>
  <si>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</si>
  <si>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</si>
  <si>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</si>
  <si>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</si>
  <si>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</si>
  <si>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</si>
  <si>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</si>
  <si>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</si>
  <si>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</si>
  <si>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</si>
  <si>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</si>
  <si>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</si>
  <si>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</si>
  <si>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</si>
  <si>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</si>
  <si>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</si>
  <si>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</si>
  <si>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</si>
  <si>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</si>
  <si>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</si>
  <si>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</si>
  <si>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</si>
  <si>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</si>
  <si>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</si>
  <si>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</si>
  <si>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</si>
  <si>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</si>
  <si>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</si>
  <si>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</si>
  <si>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</si>
  <si>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</si>
  <si>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</si>
  <si>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</si>
  <si>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</si>
  <si>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</si>
  <si>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</si>
  <si>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</si>
  <si>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</si>
  <si>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</si>
  <si>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</si>
  <si>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</si>
  <si>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</si>
  <si>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</si>
  <si>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</si>
  <si>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</si>
  <si>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</si>
  <si>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</si>
  <si>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</si>
  <si>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</si>
  <si>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</si>
  <si>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</si>
  <si>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</si>
  <si>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</si>
  <si>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</si>
  <si>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</si>
  <si>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</si>
  <si>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</si>
  <si>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</si>
  <si>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</si>
  <si>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</si>
  <si>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</si>
  <si>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</si>
  <si>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</si>
  <si>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</si>
  <si>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</si>
  <si>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</si>
  <si>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</si>
  <si>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</si>
  <si>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</si>
  <si>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</si>
  <si>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</si>
  <si>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</si>
  <si>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</si>
  <si>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</si>
  <si>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</si>
  <si>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</si>
  <si>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</si>
  <si>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</si>
  <si>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</si>
  <si>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</si>
  <si>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</si>
  <si>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</si>
  <si>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</si>
  <si>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</si>
  <si>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</si>
  <si>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</si>
  <si>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</si>
  <si>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</si>
  <si>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</si>
  <si>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</si>
  <si>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</si>
  <si>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</si>
  <si>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</si>
  <si>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</si>
  <si>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</si>
  <si>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</si>
  <si>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</si>
  <si>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</si>
  <si>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</si>
  <si>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</si>
  <si>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</si>
  <si>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</si>
  <si>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</si>
  <si>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</si>
  <si>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</si>
  <si>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</si>
  <si>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</si>
  <si>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</si>
  <si>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</si>
  <si>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</si>
  <si>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</si>
  <si>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</si>
  <si>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</si>
  <si>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</si>
  <si>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</si>
  <si>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</si>
  <si>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</si>
  <si>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</si>
  <si>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</si>
  <si>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</si>
  <si>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</si>
  <si>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</si>
  <si>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</si>
  <si>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</si>
  <si>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</si>
  <si>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</si>
  <si>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</si>
  <si>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</si>
  <si>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</si>
  <si>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</si>
  <si>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</si>
  <si>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</si>
  <si>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</si>
  <si>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</si>
  <si>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</si>
  <si>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</si>
  <si>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</si>
  <si>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</si>
  <si>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</si>
  <si>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</si>
  <si>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</si>
  <si>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</si>
  <si>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</si>
  <si>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</si>
  <si>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</si>
  <si>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</si>
  <si>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</si>
  <si>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</si>
  <si>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</si>
  <si>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</si>
  <si>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</si>
  <si>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</si>
  <si>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</si>
  <si>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</si>
  <si>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</si>
  <si>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</si>
  <si>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</si>
  <si>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</si>
  <si>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</si>
  <si>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</si>
  <si>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</si>
  <si>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</si>
  <si>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</si>
  <si>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</si>
  <si>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</si>
  <si>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</si>
  <si>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</si>
  <si>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</si>
  <si>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</si>
  <si>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</si>
  <si>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</si>
  <si>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</si>
  <si>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</si>
  <si>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</si>
  <si>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</si>
  <si>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</si>
  <si>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</si>
  <si>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</si>
  <si>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</si>
  <si>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</si>
  <si>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</si>
  <si>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</si>
  <si>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</si>
  <si>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</si>
  <si>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</si>
  <si>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</si>
  <si>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</si>
  <si>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</si>
  <si>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</si>
  <si>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</si>
  <si>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</si>
  <si>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</si>
  <si>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</si>
  <si>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</si>
  <si>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</si>
  <si>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</si>
  <si>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</si>
  <si>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</si>
  <si>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</si>
  <si>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</si>
  <si>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</si>
  <si>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</si>
  <si>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</si>
  <si>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</si>
  <si>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</si>
  <si>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</si>
  <si>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</si>
  <si>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</si>
  <si>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</si>
  <si>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</si>
  <si>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</si>
  <si>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</si>
  <si>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</si>
  <si>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</si>
  <si>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</si>
  <si>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</si>
  <si>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</si>
  <si>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</si>
  <si>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</si>
  <si>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</si>
  <si>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</si>
  <si>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</si>
  <si>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</si>
  <si>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</si>
  <si>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</si>
  <si>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</si>
  <si>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</si>
  <si>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</si>
  <si>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</si>
  <si>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</si>
  <si>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</si>
  <si>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</si>
  <si>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</si>
  <si>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</si>
  <si>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</si>
  <si>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</si>
  <si>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</si>
  <si>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</si>
  <si>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</si>
  <si>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</si>
  <si>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</si>
  <si>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</si>
  <si>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</si>
  <si>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</si>
  <si>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</si>
  <si>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</si>
  <si>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</si>
  <si>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</si>
  <si>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</si>
  <si>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</si>
  <si>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</si>
  <si>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</si>
  <si>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</si>
  <si>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</si>
  <si>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</si>
  <si>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</si>
  <si>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</si>
  <si>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</si>
  <si>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</si>
  <si>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</si>
  <si>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</si>
  <si>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</si>
  <si>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</si>
  <si>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</si>
  <si>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</si>
  <si>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</si>
  <si>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</si>
  <si>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</si>
  <si>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</si>
  <si>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</si>
  <si>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</si>
  <si>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</si>
  <si>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</si>
  <si>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</si>
  <si>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</si>
  <si>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</si>
  <si>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</si>
  <si>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</si>
  <si>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</si>
  <si>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</si>
  <si>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</si>
  <si>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</si>
  <si>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</si>
  <si>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</si>
  <si>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</si>
  <si>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</si>
  <si>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</si>
  <si>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</si>
  <si>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</si>
  <si>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</si>
  <si>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</si>
  <si>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</si>
  <si>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</si>
  <si>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</si>
  <si>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</si>
  <si>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</si>
  <si>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</si>
  <si>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</si>
  <si>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</si>
  <si>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</si>
  <si>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</si>
  <si>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</si>
  <si>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</si>
  <si>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</si>
  <si>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</si>
  <si>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</si>
  <si>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</si>
  <si>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</si>
  <si>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</si>
  <si>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</si>
  <si>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</si>
  <si>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</si>
  <si>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</si>
  <si>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</si>
  <si>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</si>
  <si>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</si>
  <si>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</si>
  <si>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</si>
  <si>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</si>
  <si>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</si>
  <si>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</si>
  <si>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</si>
  <si>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</si>
  <si>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</si>
  <si>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</si>
  <si>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</si>
  <si>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</si>
  <si>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</si>
  <si>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</si>
  <si>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</si>
  <si>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</si>
  <si>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</si>
  <si>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</si>
  <si>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</si>
  <si>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</si>
  <si>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</si>
  <si>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</si>
  <si>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</si>
  <si>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</si>
  <si>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</si>
  <si>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</si>
  <si>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</si>
  <si>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</si>
  <si>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</si>
  <si>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</si>
  <si>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</si>
  <si>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</si>
  <si>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</si>
  <si>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</si>
  <si>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</si>
  <si>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</si>
  <si>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</si>
  <si>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</si>
  <si>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</si>
  <si>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</si>
  <si>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</si>
  <si>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</si>
  <si>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</si>
  <si>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</si>
  <si>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</si>
  <si>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</si>
  <si>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</si>
  <si>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</si>
  <si>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</si>
  <si>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</si>
  <si>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</si>
  <si>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</si>
  <si>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</si>
  <si>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</si>
  <si>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</si>
  <si>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</si>
  <si>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</si>
  <si>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</si>
  <si>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</si>
  <si>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</si>
  <si>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</si>
  <si>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</si>
  <si>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</si>
  <si>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</si>
  <si>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</si>
  <si>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</si>
  <si>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</si>
  <si>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</si>
  <si>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</si>
  <si>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</si>
  <si>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</si>
  <si>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</si>
  <si>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</si>
  <si>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</si>
  <si>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</si>
  <si>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</si>
  <si>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</si>
  <si>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</si>
  <si>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</si>
  <si>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</si>
  <si>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</si>
  <si>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</si>
  <si>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</si>
  <si>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</si>
  <si>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</si>
  <si>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</si>
  <si>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</si>
  <si>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</si>
  <si>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</si>
  <si>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</si>
  <si>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</si>
  <si>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</si>
  <si>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</si>
  <si>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</si>
  <si>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</si>
  <si>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</si>
  <si>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</si>
  <si>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</si>
  <si>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</si>
  <si>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</si>
  <si>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</si>
  <si>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</si>
  <si>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</si>
  <si>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</si>
  <si>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</si>
  <si>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</si>
  <si>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</si>
  <si>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</si>
  <si>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</si>
  <si>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</si>
  <si>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</si>
  <si>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</si>
  <si>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</si>
  <si>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</si>
  <si>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</si>
  <si>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</si>
  <si>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</si>
  <si>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</si>
  <si>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</si>
  <si>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</si>
  <si>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</si>
  <si>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</si>
  <si>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</si>
  <si>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</si>
  <si>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</si>
  <si>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</si>
  <si>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</si>
  <si>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</si>
  <si>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</si>
  <si>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</si>
  <si>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</si>
  <si>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</si>
  <si>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</si>
  <si>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</si>
  <si>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</si>
  <si>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</si>
  <si>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</si>
  <si>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</si>
  <si>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</si>
  <si>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</si>
  <si>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</si>
  <si>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</si>
  <si>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</si>
  <si>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</si>
  <si>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</si>
  <si>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</si>
  <si>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</si>
  <si>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</si>
  <si>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</si>
  <si>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</si>
  <si>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</si>
  <si>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</si>
  <si>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</si>
  <si>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</si>
  <si>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</si>
  <si>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</si>
  <si>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</si>
  <si>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</si>
  <si>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</si>
  <si>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</si>
  <si>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</si>
  <si>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</si>
  <si>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</si>
  <si>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</si>
  <si>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</si>
  <si>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</si>
  <si>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</si>
  <si>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</si>
  <si>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</si>
  <si>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</si>
  <si>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</si>
  <si>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</si>
  <si>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</si>
  <si>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</si>
  <si>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</si>
  <si>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</si>
  <si>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</si>
  <si>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</si>
  <si>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</si>
  <si>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</si>
  <si>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</si>
  <si>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</si>
  <si>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</si>
  <si>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</si>
  <si>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</si>
  <si>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</si>
  <si>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</si>
  <si>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</si>
  <si>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</si>
  <si>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</si>
  <si>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</si>
  <si>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</si>
  <si>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</si>
  <si>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</si>
  <si>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</si>
  <si>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</si>
  <si>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</si>
  <si>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</si>
  <si>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</si>
  <si>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</si>
  <si>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</si>
  <si>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</si>
  <si>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</si>
  <si>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</si>
  <si>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</si>
  <si>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</si>
  <si>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</si>
  <si>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</si>
  <si>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</si>
  <si>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</si>
  <si>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</si>
  <si>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</si>
  <si>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</si>
  <si>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</si>
  <si>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</si>
  <si>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</si>
  <si>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</si>
  <si>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</si>
  <si>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</si>
  <si>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</si>
  <si>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</si>
  <si>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</si>
  <si>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</si>
  <si>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</si>
  <si>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</si>
  <si>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</si>
  <si>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</si>
  <si>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</si>
  <si>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</si>
  <si>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</si>
  <si>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</si>
  <si>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</si>
  <si>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</si>
  <si>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</si>
  <si>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</si>
  <si>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</si>
  <si>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</si>
  <si>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</si>
  <si>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</si>
  <si>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</si>
  <si>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</si>
  <si>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</si>
  <si>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</si>
  <si>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</si>
  <si>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</si>
  <si>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</si>
  <si>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</si>
  <si>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</si>
  <si>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</si>
  <si>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</si>
  <si>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</si>
  <si>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</si>
  <si>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</si>
  <si>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</si>
  <si>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</si>
  <si>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</si>
  <si>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</si>
  <si>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</si>
  <si>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</si>
  <si>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</si>
  <si>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</si>
  <si>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</si>
  <si>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</si>
  <si>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</si>
  <si>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</si>
  <si>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</si>
  <si>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</si>
  <si>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</si>
  <si>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</si>
  <si>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</si>
  <si>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</si>
  <si>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</si>
  <si>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</si>
  <si>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</si>
  <si>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</si>
  <si>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</si>
  <si>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</si>
  <si>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</si>
  <si>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</si>
  <si>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</si>
  <si>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</si>
  <si>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</si>
  <si>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</si>
  <si>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</si>
  <si>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</si>
  <si>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</si>
  <si>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</si>
  <si>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</si>
  <si>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</si>
  <si>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</si>
  <si>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</si>
  <si>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</si>
  <si>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</si>
  <si>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</si>
  <si>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</si>
  <si>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</si>
  <si>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</si>
  <si>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</si>
  <si>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</si>
  <si>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</si>
  <si>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</si>
  <si>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</si>
  <si>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</si>
  <si>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</si>
  <si>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</si>
  <si>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</si>
  <si>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</si>
  <si>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</si>
  <si>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</si>
  <si>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</si>
  <si>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</si>
  <si>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</si>
  <si>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</si>
  <si>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</si>
  <si>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</si>
  <si>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</si>
  <si>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</si>
  <si>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</si>
  <si>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</si>
  <si>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</si>
  <si>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</si>
  <si>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</si>
  <si>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</si>
  <si>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</si>
  <si>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</si>
  <si>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</si>
  <si>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</si>
  <si>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</si>
  <si>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</si>
  <si>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</si>
  <si>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</si>
  <si>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</si>
  <si>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</si>
  <si>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</si>
  <si>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</si>
  <si>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</si>
  <si>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</si>
  <si>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</si>
  <si>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</si>
  <si>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</si>
  <si>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</si>
  <si>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</si>
  <si>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</si>
  <si>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</si>
  <si>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</si>
  <si>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</si>
  <si>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</si>
  <si>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</si>
  <si>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</si>
  <si>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</si>
  <si>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</si>
  <si>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</si>
  <si>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</si>
  <si>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</si>
  <si>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</si>
  <si>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</si>
  <si>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</si>
  <si>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</si>
  <si>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</si>
  <si>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</si>
  <si>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</si>
  <si>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</si>
  <si>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</si>
  <si>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</si>
  <si>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</si>
  <si>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</si>
  <si>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</si>
  <si>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</si>
  <si>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</si>
  <si>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</si>
  <si>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</si>
  <si>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</si>
  <si>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</si>
  <si>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</si>
  <si>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</si>
  <si>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</si>
  <si>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</si>
  <si>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</si>
  <si>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</si>
  <si>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</si>
  <si>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</si>
  <si>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</si>
  <si>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</si>
  <si>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</si>
  <si>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</si>
  <si>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</si>
  <si>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</si>
  <si>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</si>
  <si>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</si>
  <si>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</si>
  <si>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</si>
  <si>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</si>
  <si>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</si>
  <si>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</si>
  <si>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</si>
  <si>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</si>
  <si>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</si>
  <si>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</si>
  <si>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</si>
  <si>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</si>
  <si>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</si>
  <si>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</si>
  <si>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</si>
  <si>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</si>
  <si>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</si>
  <si>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</si>
  <si>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</si>
  <si>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</si>
  <si>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</si>
  <si>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</si>
  <si>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</si>
  <si>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</si>
  <si>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</si>
  <si>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</si>
  <si>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</si>
  <si>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</si>
  <si>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</si>
  <si>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</si>
  <si>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</si>
  <si>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</si>
  <si>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</si>
  <si>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</si>
  <si>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</si>
  <si>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</si>
  <si>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</si>
  <si>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</si>
  <si>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</si>
  <si>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</si>
  <si>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</si>
  <si>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</si>
  <si>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</si>
  <si>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</si>
  <si>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</si>
  <si>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</si>
  <si>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</si>
  <si>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</si>
  <si>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</si>
  <si>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</si>
  <si>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</si>
  <si>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</si>
  <si>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</si>
  <si>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</si>
  <si>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</si>
  <si>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</si>
  <si>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</si>
  <si>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</si>
  <si>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</si>
  <si>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</si>
  <si>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</si>
  <si>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</si>
  <si>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</si>
  <si>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</si>
  <si>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</si>
  <si>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</si>
  <si>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</si>
  <si>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</si>
  <si>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</si>
  <si>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</si>
  <si>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</si>
  <si>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</si>
  <si>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</si>
  <si>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</si>
  <si>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</si>
  <si>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</si>
  <si>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</si>
  <si>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</si>
  <si>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</si>
  <si>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</si>
  <si>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</si>
  <si>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</si>
  <si>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</si>
  <si>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</si>
  <si>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</si>
  <si>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</si>
  <si>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</si>
  <si>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</si>
  <si>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</si>
  <si>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</si>
  <si>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</si>
  <si>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</si>
  <si>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</si>
  <si>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</si>
  <si>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</si>
  <si>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</si>
  <si>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</si>
  <si>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</si>
  <si>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</si>
  <si>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</si>
  <si>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</si>
  <si>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</si>
  <si>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</si>
  <si>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</si>
  <si>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</si>
  <si>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</si>
  <si>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</si>
  <si>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</si>
  <si>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</si>
  <si>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</si>
  <si>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</si>
  <si>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</si>
  <si>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</si>
  <si>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</si>
  <si>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</si>
  <si>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</si>
  <si>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</si>
  <si>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</si>
  <si>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</si>
  <si>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</si>
  <si>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</si>
  <si>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</si>
  <si>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</si>
  <si>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</si>
  <si>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</si>
  <si>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</si>
  <si>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</si>
  <si>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</si>
  <si>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</si>
  <si>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</si>
  <si>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</si>
  <si>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</si>
  <si>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</si>
  <si>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</si>
  <si>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</si>
  <si>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</si>
  <si>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</si>
  <si>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</si>
  <si>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</si>
  <si>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</si>
  <si>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</si>
  <si>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</si>
  <si>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</si>
  <si>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</si>
  <si>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</si>
  <si>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</si>
  <si>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</si>
  <si>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</si>
  <si>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</si>
  <si>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</si>
  <si>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</si>
  <si>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</si>
  <si>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</si>
  <si>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</si>
  <si>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</si>
  <si>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</si>
  <si>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</si>
  <si>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</si>
  <si>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</si>
  <si>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</si>
  <si>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</si>
  <si>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</si>
  <si>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</si>
  <si>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</si>
  <si>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</si>
  <si>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</si>
  <si>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</si>
  <si>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</si>
  <si>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</si>
  <si>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</si>
  <si>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</si>
  <si>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</si>
  <si>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</si>
  <si>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</si>
  <si>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</si>
  <si>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</si>
  <si>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</si>
  <si>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</si>
  <si>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</si>
  <si>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</si>
  <si>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</si>
  <si>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</si>
  <si>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</si>
  <si>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</si>
  <si>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</si>
  <si>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</si>
  <si>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</si>
  <si>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</si>
  <si>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</si>
  <si>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</si>
  <si>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</si>
  <si>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</si>
  <si>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</si>
  <si>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</si>
  <si>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</si>
  <si>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</si>
  <si>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</si>
  <si>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</si>
  <si>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</si>
  <si>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</si>
  <si>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</si>
  <si>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</si>
  <si>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</si>
  <si>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</si>
  <si>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</si>
  <si>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</si>
  <si>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</si>
  <si>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</si>
  <si>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</si>
  <si>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</si>
  <si>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</si>
  <si>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</si>
  <si>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</si>
  <si>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</si>
  <si>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</si>
  <si>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</si>
  <si>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</si>
  <si>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</si>
  <si>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</si>
  <si>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</si>
  <si>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</si>
  <si>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</si>
  <si>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</si>
  <si>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</si>
  <si>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</si>
  <si>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</si>
  <si>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</si>
  <si>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</si>
  <si>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</si>
  <si>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</si>
  <si>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</si>
  <si>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</si>
  <si>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</si>
  <si>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</si>
  <si>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</si>
  <si>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</si>
  <si>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</si>
  <si>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</si>
  <si>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</si>
  <si>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</si>
  <si>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</si>
  <si>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</si>
  <si>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</si>
  <si>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</si>
  <si>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</si>
  <si>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</si>
  <si>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</si>
  <si>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</si>
  <si>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</si>
  <si>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</si>
  <si>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</si>
  <si>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</si>
  <si>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</si>
  <si>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</si>
  <si>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</si>
  <si>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</si>
  <si>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</si>
  <si>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</si>
  <si>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</si>
  <si>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</si>
  <si>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</si>
  <si>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</si>
  <si>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</si>
  <si>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</si>
  <si>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</si>
  <si>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</si>
  <si>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</si>
  <si>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</si>
  <si>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</si>
  <si>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</si>
  <si>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</si>
  <si>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</si>
  <si>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</si>
  <si>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</si>
  <si>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</si>
  <si>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</si>
  <si>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</si>
  <si>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</si>
  <si>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</si>
  <si>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</si>
  <si>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</si>
  <si>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</si>
  <si>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</si>
  <si>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</si>
  <si>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</si>
  <si>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</si>
  <si>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</si>
  <si>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</si>
  <si>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</si>
  <si>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</si>
  <si>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</si>
  <si>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</si>
  <si>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</si>
  <si>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</si>
  <si>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</si>
  <si>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</si>
  <si>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</si>
  <si>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</si>
  <si>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</si>
  <si>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</si>
  <si>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</si>
  <si>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</si>
  <si>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</si>
  <si>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</si>
  <si>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</si>
  <si>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</si>
  <si>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</si>
  <si>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</si>
  <si>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</si>
  <si>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</si>
  <si>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</si>
  <si>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</si>
  <si>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</si>
  <si>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</si>
  <si>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</si>
  <si>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</si>
  <si>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</si>
  <si>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</si>
  <si>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</si>
  <si>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</si>
  <si>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</si>
  <si>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</si>
  <si>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</si>
  <si>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</si>
  <si>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</si>
  <si>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</si>
  <si>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</si>
  <si>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</si>
  <si>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</si>
  <si>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</si>
  <si>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</si>
  <si>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</si>
  <si>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</si>
  <si>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</si>
  <si>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</si>
  <si>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</si>
  <si>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</si>
  <si>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</si>
  <si>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</si>
  <si>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</si>
  <si>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</si>
  <si>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</si>
  <si>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</si>
  <si>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</si>
  <si>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</si>
  <si>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</si>
  <si>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</si>
  <si>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</si>
  <si>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</si>
  <si>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</si>
  <si>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</si>
  <si>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</si>
  <si>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</si>
  <si>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</si>
  <si>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</si>
  <si>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</si>
  <si>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</si>
  <si>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</si>
  <si>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</si>
  <si>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</si>
  <si>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</si>
  <si>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</si>
  <si>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</si>
  <si>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</si>
  <si>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</si>
  <si>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</si>
  <si>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</si>
  <si>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</si>
  <si>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</si>
  <si>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</si>
  <si>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</si>
  <si>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</si>
  <si>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</si>
  <si>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</si>
  <si>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</si>
  <si>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</si>
  <si>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</si>
  <si>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</si>
  <si>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</si>
  <si>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</si>
  <si>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</si>
  <si>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</si>
  <si>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</si>
  <si>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</si>
  <si>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</si>
  <si>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</si>
  <si>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</si>
  <si>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</si>
  <si>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</si>
  <si>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</si>
  <si>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</si>
  <si>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</si>
  <si>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</si>
  <si>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</si>
  <si>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</si>
  <si>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</si>
  <si>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</si>
  <si>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</si>
  <si>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</si>
  <si>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</si>
  <si>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</si>
  <si>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</si>
  <si>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</si>
  <si>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</si>
  <si>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</si>
  <si>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</si>
  <si>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</si>
  <si>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</si>
  <si>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</si>
  <si>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</si>
  <si>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</si>
  <si>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</si>
  <si>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</si>
  <si>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</si>
  <si>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</si>
  <si>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</si>
  <si>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</si>
  <si>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</si>
  <si>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</si>
  <si>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</si>
  <si>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</si>
  <si>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</si>
  <si>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</si>
  <si>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</si>
  <si>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</si>
  <si>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</si>
  <si>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</si>
  <si>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</si>
  <si>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</si>
  <si>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</si>
  <si>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</si>
  <si>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</si>
  <si>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</si>
  <si>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</si>
  <si>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</si>
  <si>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</si>
  <si>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</si>
  <si>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</si>
  <si>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</si>
  <si>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</si>
  <si>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</si>
  <si>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</si>
  <si>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</si>
  <si>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</si>
  <si>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</si>
  <si>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</si>
  <si>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</si>
  <si>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</si>
  <si>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</si>
  <si>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</si>
  <si>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</si>
  <si>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</si>
  <si>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</si>
  <si>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</si>
  <si>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</si>
  <si>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</si>
  <si>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</si>
  <si>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</si>
  <si>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</si>
  <si>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</si>
  <si>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</si>
  <si>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</si>
  <si>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</si>
  <si>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</si>
  <si>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</si>
  <si>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</si>
  <si>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</si>
  <si>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</si>
  <si>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</si>
  <si>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</si>
  <si>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</si>
  <si>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</si>
  <si>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</si>
  <si>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</si>
  <si>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</si>
  <si>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</si>
  <si>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</si>
  <si>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</si>
  <si>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</si>
  <si>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</si>
  <si>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</si>
  <si>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</si>
  <si>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</si>
  <si>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</si>
  <si>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</si>
  <si>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</si>
  <si>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</si>
  <si>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</si>
  <si>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</si>
  <si>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</si>
  <si>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</si>
  <si>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</si>
  <si>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</si>
  <si>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</si>
  <si>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</si>
  <si>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</si>
  <si>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</si>
  <si>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</si>
  <si>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</si>
  <si>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</si>
  <si>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</si>
  <si>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</si>
  <si>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</si>
  <si>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</si>
  <si>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</si>
  <si>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</si>
  <si>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</si>
  <si>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</si>
  <si>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</si>
  <si>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</si>
  <si>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</si>
  <si>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</si>
  <si>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</si>
  <si>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</si>
  <si>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</si>
  <si>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</si>
  <si>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</si>
  <si>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</si>
  <si>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</si>
  <si>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</si>
  <si>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</si>
  <si>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</si>
  <si>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</si>
  <si>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</si>
  <si>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</si>
  <si>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</si>
  <si>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</si>
  <si>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</si>
  <si>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</si>
  <si>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</si>
  <si>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</si>
  <si>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</si>
  <si>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</si>
  <si>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</si>
  <si>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</si>
  <si>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</si>
  <si>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</si>
  <si>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</si>
  <si>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</si>
  <si>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</si>
  <si>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</si>
  <si>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</si>
  <si>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</si>
  <si>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</si>
  <si>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</si>
  <si>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</si>
  <si>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</si>
  <si>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</si>
  <si>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</si>
  <si>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</si>
  <si>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</si>
  <si>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</si>
  <si>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</si>
  <si>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</si>
  <si>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</si>
  <si>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</si>
  <si>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</si>
  <si>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</si>
  <si>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</si>
  <si>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</si>
  <si>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</si>
  <si>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</si>
  <si>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</si>
  <si>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</si>
  <si>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</si>
  <si>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</si>
  <si>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</si>
  <si>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</si>
  <si>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</si>
  <si>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</si>
  <si>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</si>
  <si>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</si>
  <si>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</si>
  <si>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</si>
  <si>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</si>
  <si>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</si>
  <si>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</si>
  <si>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</si>
  <si>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</si>
  <si>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</si>
  <si>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</si>
  <si>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</si>
  <si>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</si>
  <si>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</si>
  <si>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</si>
  <si>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</si>
  <si>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</si>
  <si>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</si>
  <si>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</si>
  <si>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</si>
  <si>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</si>
  <si>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</si>
  <si>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</si>
  <si>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</si>
  <si>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</si>
  <si>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</si>
  <si>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</si>
  <si>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</si>
  <si>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</si>
  <si>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</si>
  <si>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</si>
  <si>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</si>
  <si>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</si>
  <si>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</si>
  <si>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</si>
  <si>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</si>
  <si>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</si>
  <si>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</si>
  <si>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</si>
  <si>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</si>
  <si>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</si>
  <si>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</si>
  <si>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</si>
  <si>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</si>
  <si>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</si>
  <si>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</si>
  <si>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</si>
  <si>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</si>
  <si>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</si>
  <si>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</si>
  <si>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</si>
  <si>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</si>
  <si>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</si>
  <si>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</si>
  <si>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</si>
  <si>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</si>
  <si>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</si>
  <si>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</si>
  <si>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</si>
  <si>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</si>
  <si>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</si>
  <si>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</si>
  <si>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</si>
  <si>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</si>
  <si>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</si>
  <si>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</si>
  <si>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</si>
  <si>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</si>
  <si>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</si>
  <si>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</si>
  <si>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</si>
  <si>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</si>
  <si>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</si>
  <si>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</si>
  <si>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</si>
  <si>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</si>
  <si>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</si>
  <si>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</si>
  <si>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</si>
  <si>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</si>
  <si>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</si>
  <si>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</si>
  <si>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</si>
  <si>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</si>
  <si>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</si>
  <si>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</si>
  <si>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</si>
  <si>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</si>
  <si>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</si>
  <si>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</si>
  <si>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</si>
  <si>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</si>
  <si>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</si>
  <si>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</si>
  <si>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</si>
  <si>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</si>
  <si>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</si>
  <si>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</si>
  <si>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</si>
  <si>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</si>
  <si>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</si>
  <si>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</si>
  <si>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</si>
  <si>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</si>
  <si>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</si>
  <si>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</si>
  <si>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</si>
  <si>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</si>
  <si>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</si>
  <si>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</si>
  <si>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</si>
  <si>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</si>
  <si>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</si>
  <si>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</si>
  <si>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</si>
  <si>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</si>
  <si>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</si>
  <si>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</si>
  <si>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</si>
  <si>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</si>
  <si>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</si>
  <si>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</si>
  <si>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</si>
  <si>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</si>
  <si>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</si>
  <si>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</si>
  <si>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</si>
  <si>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</si>
  <si>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</si>
  <si>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</si>
  <si>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</si>
  <si>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</si>
  <si>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</si>
  <si>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</si>
  <si>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</si>
  <si>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</si>
  <si>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</si>
  <si>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</si>
  <si>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</si>
  <si>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</si>
  <si>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</si>
  <si>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</si>
  <si>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</si>
  <si>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</si>
  <si>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</si>
  <si>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</si>
  <si>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</si>
  <si>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</si>
  <si>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</si>
  <si>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</si>
  <si>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</si>
  <si>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</si>
  <si>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</si>
  <si>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</si>
  <si>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</si>
  <si>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</si>
  <si>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</si>
  <si>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</si>
  <si>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</si>
  <si>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</si>
  <si>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</si>
  <si>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</si>
  <si>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</si>
  <si>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</si>
  <si>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</si>
  <si>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</si>
  <si>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</si>
  <si>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</si>
  <si>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</si>
  <si>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</si>
  <si>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</si>
  <si>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</si>
  <si>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</si>
  <si>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</si>
  <si>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</si>
  <si>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</si>
  <si>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</si>
  <si>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</si>
  <si>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</si>
  <si>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</si>
  <si>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</si>
  <si>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</si>
  <si>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</si>
  <si>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</si>
  <si>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</si>
  <si>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</si>
  <si>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</si>
  <si>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</si>
  <si>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</si>
  <si>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</si>
  <si>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</si>
  <si>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</si>
  <si>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</si>
  <si>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</si>
  <si>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</si>
  <si>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</si>
  <si>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</si>
  <si>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</si>
  <si>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</si>
  <si>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</si>
  <si>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</si>
  <si>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</si>
  <si>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</si>
  <si>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</si>
  <si>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</si>
  <si>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</si>
  <si>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</si>
  <si>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</si>
  <si>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</si>
  <si>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</si>
  <si>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</si>
  <si>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</si>
  <si>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</si>
  <si>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</si>
  <si>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</si>
  <si>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</si>
  <si>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</si>
  <si>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</si>
  <si>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</si>
  <si>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</si>
  <si>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</si>
  <si>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</si>
  <si>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</si>
  <si>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</si>
  <si>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</si>
  <si>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</si>
  <si>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</si>
  <si>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</si>
  <si>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</si>
  <si>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</si>
  <si>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</si>
  <si>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</si>
  <si>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</si>
  <si>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</si>
  <si>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</si>
  <si>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</si>
  <si>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</si>
  <si>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</si>
  <si>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</si>
  <si>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</si>
  <si>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</si>
  <si>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</si>
  <si>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</si>
  <si>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</si>
  <si>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</si>
  <si>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</si>
  <si>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</si>
  <si>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</si>
  <si>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</si>
  <si>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</si>
  <si>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</si>
  <si>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</si>
  <si>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</si>
  <si>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</si>
  <si>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</si>
  <si>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</si>
  <si>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</si>
  <si>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</si>
  <si>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</si>
  <si>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</si>
  <si>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</si>
  <si>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</si>
  <si>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</si>
  <si>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</si>
  <si>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</si>
  <si>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</si>
  <si>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</si>
  <si>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</si>
  <si>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</si>
  <si>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</si>
  <si>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</si>
  <si>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</si>
  <si>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</si>
  <si>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</si>
  <si>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</si>
  <si>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</si>
  <si>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</si>
  <si>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</si>
  <si>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</si>
  <si>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</si>
  <si>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</si>
  <si>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</si>
  <si>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</si>
  <si>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</si>
  <si>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</si>
  <si>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</si>
  <si>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</si>
  <si>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</si>
  <si>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</si>
  <si>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</si>
  <si>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</si>
  <si>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</si>
  <si>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</si>
  <si>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</si>
  <si>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</si>
  <si>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</si>
  <si>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</si>
  <si>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</si>
  <si>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</si>
  <si>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</si>
  <si>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</si>
  <si>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</si>
  <si>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</si>
  <si>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</si>
  <si>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</si>
  <si>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</si>
  <si>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</si>
  <si>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</si>
  <si>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</si>
  <si>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</si>
  <si>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</si>
  <si>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</si>
  <si>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</si>
  <si>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</si>
  <si>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</si>
  <si>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</si>
  <si>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</si>
  <si>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</si>
  <si>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</si>
  <si>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</si>
  <si>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</si>
  <si>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</si>
  <si>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</si>
  <si>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</si>
  <si>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</si>
  <si>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</si>
  <si>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</si>
  <si>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</si>
  <si>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</si>
  <si>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</si>
  <si>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</si>
  <si>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</si>
  <si>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</si>
  <si>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</si>
  <si>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</si>
  <si>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</si>
  <si>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</si>
  <si>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</si>
  <si>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</si>
  <si>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</si>
  <si>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</si>
  <si>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</si>
  <si>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</si>
  <si>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</si>
  <si>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</si>
  <si>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</si>
  <si>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</si>
  <si>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</si>
  <si>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</si>
  <si>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</si>
  <si>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</si>
  <si>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</si>
  <si>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</si>
  <si>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</si>
  <si>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</si>
  <si>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</si>
  <si>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</si>
  <si>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</si>
  <si>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</si>
  <si>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</si>
  <si>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</si>
  <si>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</si>
  <si>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</si>
  <si>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</si>
  <si>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</si>
  <si>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</si>
  <si>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</si>
  <si>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</si>
  <si>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</si>
  <si>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</si>
  <si>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</si>
  <si>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</si>
  <si>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</si>
  <si>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</si>
  <si>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</si>
  <si>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</si>
  <si>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</si>
  <si>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</si>
  <si>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</si>
  <si>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</si>
  <si>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</si>
  <si>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</si>
  <si>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</si>
  <si>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</si>
  <si>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</si>
  <si>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</si>
  <si>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</si>
  <si>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</si>
  <si>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</si>
  <si>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</si>
  <si>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</si>
  <si>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</si>
  <si>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</si>
  <si>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</si>
  <si>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</si>
  <si>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</si>
  <si>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</si>
  <si>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</si>
  <si>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</si>
  <si>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</si>
  <si>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</si>
  <si>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</si>
  <si>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</si>
  <si>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</si>
  <si>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</si>
  <si>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</si>
  <si>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</si>
  <si>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</si>
  <si>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</si>
  <si>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</si>
  <si>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</si>
  <si>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</si>
  <si>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</si>
  <si>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</si>
  <si>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</si>
  <si>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</si>
  <si>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</si>
  <si>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</si>
  <si>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</si>
  <si>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</si>
  <si>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</si>
  <si>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</si>
  <si>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</si>
  <si>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</si>
  <si>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</si>
  <si>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</si>
  <si>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</si>
  <si>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</si>
  <si>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</si>
  <si>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</si>
  <si>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</si>
  <si>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</si>
  <si>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</si>
  <si>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</si>
  <si>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</si>
  <si>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</si>
  <si>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</si>
  <si>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</si>
  <si>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</si>
  <si>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</si>
  <si>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</si>
  <si>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</si>
  <si>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</si>
  <si>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</si>
  <si>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</si>
  <si>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</si>
  <si>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</si>
  <si>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</si>
  <si>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</si>
  <si>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</si>
  <si>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</si>
  <si>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</si>
  <si>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</si>
  <si>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</si>
  <si>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</si>
  <si>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</si>
  <si>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</si>
  <si>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</si>
  <si>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</si>
  <si>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</si>
  <si>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</si>
  <si>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</si>
  <si>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</si>
  <si>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</si>
  <si>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</si>
  <si>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</si>
  <si>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</si>
  <si>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</si>
  <si>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</si>
  <si>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</si>
  <si>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</si>
  <si>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</si>
  <si>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</si>
  <si>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</si>
  <si>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</si>
  <si>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</si>
  <si>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</si>
  <si>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</si>
  <si>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</si>
  <si>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</si>
  <si>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</si>
  <si>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</si>
  <si>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</si>
  <si>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</si>
  <si>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</si>
  <si>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</si>
  <si>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</si>
  <si>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</si>
  <si>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</si>
  <si>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</si>
  <si>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</si>
  <si>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</si>
  <si>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</si>
  <si>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</si>
  <si>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</si>
  <si>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</si>
  <si>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</si>
  <si>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</si>
  <si>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</si>
  <si>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</si>
  <si>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</si>
  <si>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</si>
  <si>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</si>
  <si>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</si>
  <si>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</si>
  <si>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</si>
  <si>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</si>
  <si>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</si>
  <si>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</si>
  <si>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</si>
  <si>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</si>
  <si>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</si>
  <si>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</si>
  <si>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</si>
  <si>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</si>
  <si>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</si>
  <si>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</si>
  <si>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</si>
  <si>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</si>
  <si>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</si>
  <si>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</si>
  <si>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</si>
  <si>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</si>
  <si>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</si>
  <si>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</si>
  <si>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</si>
  <si>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</si>
  <si>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</si>
  <si>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</si>
  <si>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</si>
  <si>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</si>
  <si>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</si>
  <si>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</si>
  <si>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</si>
  <si>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</si>
  <si>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</si>
  <si>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</si>
  <si>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</si>
  <si>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</si>
  <si>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</si>
  <si>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</si>
  <si>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</si>
  <si>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</si>
  <si>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</si>
  <si>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</si>
  <si>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</si>
  <si>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</si>
  <si>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</si>
  <si>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</si>
  <si>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</si>
  <si>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</si>
  <si>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</si>
  <si>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</si>
  <si>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</si>
  <si>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</si>
  <si>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</si>
  <si>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</si>
  <si>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</si>
  <si>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</si>
  <si>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</si>
  <si>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</si>
  <si>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</si>
  <si>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</si>
  <si>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</si>
  <si>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</si>
  <si>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</si>
  <si>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</si>
  <si>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</si>
  <si>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</si>
  <si>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</si>
  <si>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</si>
  <si>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</si>
  <si>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</si>
  <si>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</si>
  <si>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</si>
  <si>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</si>
  <si>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</si>
  <si>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</si>
  <si>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</si>
  <si>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</si>
  <si>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</si>
  <si>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</si>
  <si>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</si>
  <si>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</si>
  <si>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</si>
  <si>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</si>
  <si>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</si>
  <si>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</si>
  <si>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</si>
  <si>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</si>
  <si>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</si>
  <si>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</si>
  <si>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</si>
  <si>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</si>
  <si>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</si>
  <si>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</si>
  <si>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</si>
  <si>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</si>
  <si>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</si>
  <si>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</si>
  <si>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</si>
  <si>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</si>
  <si>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</si>
  <si>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</si>
  <si>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</si>
  <si>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</si>
  <si>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</si>
  <si>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</si>
  <si>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</si>
  <si>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</si>
  <si>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</si>
  <si>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</si>
  <si>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</si>
  <si>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</si>
  <si>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</si>
  <si>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</si>
  <si>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</si>
  <si>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</si>
  <si>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</si>
  <si>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</si>
  <si>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</si>
  <si>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</si>
  <si>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</si>
  <si>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</si>
  <si>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</si>
  <si>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</si>
  <si>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</si>
  <si>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</si>
  <si>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</si>
  <si>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</si>
  <si>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</si>
  <si>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</si>
  <si>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</si>
  <si>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</si>
  <si>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</si>
  <si>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</si>
  <si>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</si>
  <si>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</si>
  <si>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</si>
  <si>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</si>
  <si>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</si>
  <si>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</si>
  <si>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</si>
  <si>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</si>
  <si>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</si>
  <si>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</si>
  <si>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</si>
  <si>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</si>
  <si>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</si>
  <si>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</si>
  <si>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</si>
  <si>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</si>
  <si>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</si>
  <si>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</si>
  <si>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</si>
  <si>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</si>
  <si>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</si>
  <si>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</si>
  <si>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</si>
  <si>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</si>
  <si>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</si>
  <si>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</si>
  <si>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</si>
  <si>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</si>
  <si>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</si>
  <si>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</si>
  <si>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</si>
  <si>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</si>
  <si>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</si>
  <si>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</si>
  <si>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</si>
  <si>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</si>
  <si>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</si>
  <si>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</si>
  <si>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</si>
  <si>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</si>
  <si>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</si>
  <si>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</si>
  <si>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</si>
  <si>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</si>
  <si>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</si>
  <si>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</si>
  <si>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</si>
  <si>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</si>
  <si>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</si>
  <si>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</si>
  <si>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</si>
  <si>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</si>
  <si>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</si>
  <si>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</si>
  <si>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</si>
  <si>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</si>
  <si>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</si>
  <si>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</si>
  <si>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</si>
  <si>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</si>
  <si>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</si>
  <si>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</si>
  <si>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</si>
  <si>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</si>
  <si>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</si>
  <si>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</si>
  <si>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</si>
  <si>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</si>
  <si>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</si>
  <si>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</si>
  <si>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</si>
  <si>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</si>
  <si>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</si>
  <si>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</si>
  <si>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</si>
  <si>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</si>
  <si>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</si>
  <si>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</si>
  <si>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</si>
  <si>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</si>
  <si>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</si>
  <si>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</si>
  <si>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</si>
  <si>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</si>
  <si>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</si>
  <si>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</si>
  <si>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</si>
  <si>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</si>
  <si>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</si>
  <si>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</si>
  <si>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</si>
  <si>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</si>
  <si>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</si>
  <si>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</si>
  <si>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</si>
  <si>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</si>
  <si>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</si>
  <si>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</si>
  <si>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</si>
  <si>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</si>
  <si>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</si>
  <si>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</si>
  <si>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</si>
  <si>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</si>
  <si>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</si>
  <si>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</si>
  <si>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</si>
  <si>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</si>
  <si>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</si>
  <si>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</si>
  <si>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</si>
  <si>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</si>
  <si>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</si>
  <si>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</si>
  <si>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</si>
  <si>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</si>
  <si>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</si>
  <si>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</si>
  <si>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</si>
  <si>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</si>
  <si>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</si>
  <si>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</si>
  <si>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</si>
  <si>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</si>
  <si>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</si>
  <si>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</si>
  <si>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</si>
  <si>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</si>
  <si>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</si>
  <si>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</si>
  <si>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</si>
  <si>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</si>
  <si>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</si>
  <si>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</si>
  <si>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</si>
  <si>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</si>
  <si>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</si>
  <si>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</si>
  <si>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</si>
  <si>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</si>
  <si>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</si>
  <si>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</si>
  <si>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</si>
  <si>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</si>
  <si>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</si>
  <si>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</si>
  <si>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</si>
  <si>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</si>
  <si>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</si>
  <si>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</si>
  <si>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</si>
  <si>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</si>
  <si>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</si>
  <si>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</si>
  <si>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</si>
  <si>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</si>
  <si>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</si>
  <si>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</si>
  <si>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</si>
  <si>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</si>
  <si>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</si>
  <si>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</si>
  <si>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</si>
  <si>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</si>
  <si>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</si>
  <si>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</si>
  <si>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</si>
  <si>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</si>
  <si>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</si>
  <si>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</si>
  <si>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</si>
  <si>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</si>
  <si>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</si>
  <si>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</si>
  <si>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</si>
  <si>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</si>
  <si>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</si>
  <si>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</si>
  <si>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</si>
  <si>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</si>
  <si>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</si>
  <si>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</si>
  <si>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</si>
  <si>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</si>
  <si>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</si>
  <si>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</si>
  <si>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</si>
  <si>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</si>
  <si>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</si>
  <si>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</si>
  <si>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</si>
  <si>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</si>
  <si>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</si>
  <si>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</si>
  <si>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</si>
  <si>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</si>
  <si>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</si>
  <si>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</si>
  <si>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</si>
  <si>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</si>
  <si>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</si>
  <si>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</si>
  <si>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</si>
  <si>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</si>
  <si>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</si>
  <si>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</si>
  <si>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</si>
  <si>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</si>
  <si>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</si>
  <si>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</si>
  <si>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</si>
  <si>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</si>
  <si>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</si>
  <si>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</si>
  <si>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</si>
  <si>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</si>
  <si>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</si>
  <si>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</si>
  <si>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</si>
  <si>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</si>
  <si>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</si>
  <si>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</si>
  <si>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</si>
  <si>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</si>
  <si>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</si>
  <si>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</si>
  <si>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</si>
  <si>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</si>
  <si>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</si>
  <si>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</si>
  <si>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</si>
  <si>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</si>
  <si>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</si>
  <si>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</si>
  <si>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</si>
  <si>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</si>
  <si>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</si>
  <si>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</si>
  <si>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</si>
  <si>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</si>
  <si>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</si>
  <si>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</si>
  <si>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</si>
  <si>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</si>
  <si>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</si>
  <si>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</si>
  <si>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</si>
  <si>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</si>
  <si>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</si>
  <si>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</si>
  <si>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</si>
  <si>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</si>
  <si>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</si>
  <si>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</si>
  <si>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</si>
  <si>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</si>
  <si>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</si>
  <si>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</si>
  <si>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</si>
  <si>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</si>
  <si>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</si>
  <si>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</si>
  <si>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</si>
  <si>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</si>
  <si>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</si>
  <si>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</si>
  <si>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</si>
  <si>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</si>
  <si>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</si>
  <si>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</si>
  <si>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</si>
  <si>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</si>
  <si>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</si>
  <si>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</si>
  <si>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</si>
  <si>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</si>
  <si>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</si>
  <si>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</si>
  <si>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</si>
  <si>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</si>
  <si>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</si>
  <si>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</si>
  <si>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</si>
  <si>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</si>
  <si>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</si>
  <si>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</si>
  <si>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</si>
  <si>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</si>
  <si>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</si>
  <si>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</si>
  <si>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</si>
  <si>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</si>
  <si>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</si>
  <si>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</si>
  <si>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</si>
  <si>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</si>
  <si>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</si>
  <si>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</si>
  <si>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</si>
  <si>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</si>
  <si>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</si>
  <si>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</si>
  <si>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</si>
  <si>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</si>
  <si>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</si>
  <si>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</si>
  <si>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</si>
  <si>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</si>
  <si>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</si>
  <si>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</si>
  <si>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</si>
  <si>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</si>
  <si>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</si>
  <si>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</si>
  <si>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</si>
  <si>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</si>
  <si>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</si>
  <si>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</si>
  <si>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</si>
  <si>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</si>
  <si>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</si>
  <si>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</si>
  <si>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</si>
  <si>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</si>
  <si>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</si>
  <si>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</si>
  <si>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</si>
  <si>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</si>
  <si>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</si>
  <si>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</si>
  <si>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</si>
  <si>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</si>
  <si>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</si>
  <si>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</si>
  <si>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</si>
  <si>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</si>
  <si>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</si>
  <si>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</si>
  <si>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</si>
  <si>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</si>
  <si>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</si>
  <si>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</si>
  <si>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</si>
  <si>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</si>
  <si>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</si>
  <si>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</si>
  <si>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</si>
  <si>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</si>
  <si>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</si>
  <si>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</si>
  <si>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</si>
  <si>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</si>
  <si>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</si>
  <si>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</si>
  <si>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</si>
  <si>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</si>
  <si>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</si>
  <si>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</si>
  <si>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</si>
  <si>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</si>
  <si>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</si>
  <si>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</si>
  <si>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</si>
  <si>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</si>
  <si>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</si>
  <si>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</si>
  <si>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</si>
  <si>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</si>
  <si>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</si>
  <si>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</si>
  <si>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</si>
  <si>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</si>
  <si>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</si>
  <si>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</si>
  <si>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</si>
  <si>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</si>
  <si>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</si>
  <si>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</si>
  <si>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</si>
  <si>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</si>
  <si>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</si>
  <si>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</si>
  <si>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</si>
  <si>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</si>
  <si>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</si>
  <si>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</si>
  <si>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</si>
  <si>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</si>
  <si>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</si>
  <si>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</si>
  <si>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</si>
  <si>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</si>
  <si>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</si>
  <si>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</si>
  <si>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</si>
  <si>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</si>
  <si>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</si>
  <si>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</si>
  <si>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</si>
  <si>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</si>
  <si>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</si>
  <si>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</si>
  <si>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</si>
  <si>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</si>
  <si>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</si>
  <si>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</si>
  <si>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</si>
  <si>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</si>
  <si>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</si>
  <si>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</si>
  <si>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</si>
  <si>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</si>
  <si>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</si>
  <si>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</si>
  <si>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</si>
  <si>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</si>
  <si>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</si>
  <si>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</si>
  <si>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</si>
  <si>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</si>
  <si>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</si>
  <si>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</si>
  <si>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</si>
  <si>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</si>
  <si>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</si>
  <si>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</si>
  <si>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</si>
  <si>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</si>
  <si>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</si>
  <si>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</si>
  <si>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</si>
  <si>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</si>
  <si>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</si>
  <si>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</si>
  <si>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</si>
  <si>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</si>
  <si>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</si>
  <si>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</si>
  <si>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</si>
  <si>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</si>
  <si>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</si>
  <si>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</si>
  <si>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</si>
  <si>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</si>
  <si>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</si>
  <si>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</si>
  <si>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</si>
  <si>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</si>
  <si>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</si>
  <si>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</si>
  <si>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</si>
  <si>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</si>
  <si>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</si>
  <si>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</si>
  <si>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</si>
  <si>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</si>
  <si>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</si>
  <si>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</si>
  <si>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</si>
  <si>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</si>
  <si>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</si>
  <si>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</si>
  <si>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</si>
  <si>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</si>
  <si>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</si>
  <si>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</si>
  <si>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</si>
  <si>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</si>
  <si>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</si>
  <si>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</si>
  <si>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</si>
  <si>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</si>
  <si>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</si>
  <si>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</si>
  <si>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</si>
  <si>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</si>
  <si>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</si>
  <si>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</si>
  <si>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</si>
  <si>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</si>
  <si>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</si>
  <si>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</si>
  <si>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</si>
  <si>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</si>
  <si>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</si>
  <si>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</si>
  <si>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</si>
  <si>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</si>
  <si>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</si>
  <si>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</si>
  <si>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</si>
  <si>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</si>
  <si>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</si>
  <si>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</si>
  <si>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</si>
  <si>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</si>
  <si>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</si>
  <si>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</si>
  <si>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</si>
  <si>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</si>
  <si>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</si>
  <si>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</si>
  <si>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</si>
  <si>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</si>
  <si>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</si>
  <si>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</si>
  <si>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</si>
  <si>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</si>
  <si>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</si>
  <si>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</si>
  <si>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</si>
  <si>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</si>
  <si>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</si>
  <si>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</si>
  <si>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</si>
  <si>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</si>
  <si>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</si>
  <si>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</si>
  <si>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</si>
  <si>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</si>
  <si>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</si>
  <si>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</si>
  <si>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</si>
  <si>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</si>
  <si>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</si>
  <si>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</si>
  <si>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</si>
  <si>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</si>
  <si>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</si>
  <si>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</si>
  <si>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</si>
  <si>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</si>
  <si>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</si>
  <si>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</si>
  <si>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</si>
  <si>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</si>
  <si>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</si>
  <si>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</si>
  <si>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</si>
  <si>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</si>
  <si>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</si>
  <si>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</si>
  <si>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</si>
  <si>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</si>
  <si>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</si>
  <si>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</si>
  <si>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</si>
  <si>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</si>
  <si>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</si>
  <si>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</si>
  <si>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</si>
  <si>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</si>
  <si>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</si>
  <si>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</si>
  <si>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</si>
  <si>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</si>
  <si>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</si>
  <si>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</si>
  <si>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</si>
  <si>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</si>
  <si>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</si>
  <si>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</si>
  <si>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</si>
  <si>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</si>
  <si>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</si>
  <si>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</si>
  <si>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</si>
  <si>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</si>
  <si>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</si>
  <si>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</si>
  <si>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</si>
  <si>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</si>
  <si>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</si>
  <si>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</si>
  <si>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</si>
  <si>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</si>
  <si>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</si>
  <si>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</si>
  <si>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</si>
  <si>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</si>
  <si>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</si>
  <si>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</si>
  <si>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</si>
  <si>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</si>
  <si>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</si>
  <si>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</si>
  <si>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</si>
  <si>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</si>
  <si>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</si>
  <si>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</si>
  <si>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</si>
  <si>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</si>
  <si>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</si>
  <si>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</si>
  <si>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</si>
  <si>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</si>
  <si>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</si>
  <si>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</si>
  <si>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</si>
  <si>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</si>
  <si>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</si>
  <si>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</si>
  <si>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</si>
  <si>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</si>
  <si>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</si>
  <si>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</si>
  <si>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</si>
  <si>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</si>
  <si>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</si>
  <si>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</si>
  <si>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</si>
  <si>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</si>
  <si>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</si>
  <si>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</si>
  <si>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</si>
  <si>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</si>
  <si>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</si>
  <si>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</si>
  <si>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</si>
  <si>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</si>
  <si>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</si>
  <si>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</si>
  <si>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</si>
  <si>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</si>
  <si>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</si>
  <si>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</si>
  <si>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</si>
  <si>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</si>
  <si>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</si>
  <si>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</si>
  <si>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</si>
  <si>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</si>
  <si>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</si>
  <si>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</si>
  <si>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</si>
  <si>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</si>
  <si>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</si>
  <si>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</si>
  <si>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</si>
  <si>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</si>
  <si>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</si>
  <si>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</si>
  <si>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</si>
  <si>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</si>
  <si>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</si>
  <si>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</si>
  <si>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</si>
  <si>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</si>
  <si>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</si>
  <si>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</si>
  <si>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</si>
  <si>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</si>
  <si>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</si>
  <si>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</si>
  <si>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</si>
  <si>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</si>
  <si>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</si>
  <si>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</si>
  <si>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</si>
  <si>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</si>
  <si>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</si>
  <si>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</si>
  <si>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</si>
  <si>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</si>
  <si>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</si>
  <si>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</si>
  <si>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</si>
  <si>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</si>
  <si>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</si>
  <si>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</si>
  <si>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</si>
  <si>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</si>
  <si>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</si>
  <si>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</si>
  <si>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</si>
  <si>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</si>
  <si>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</si>
  <si>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</si>
  <si>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</si>
  <si>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</si>
  <si>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</si>
  <si>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</si>
  <si>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</si>
  <si>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</si>
  <si>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</si>
  <si>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</si>
  <si>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</si>
  <si>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</si>
  <si>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</si>
  <si>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</si>
  <si>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</si>
  <si>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</si>
  <si>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</si>
  <si>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</si>
  <si>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</si>
  <si>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</si>
  <si>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</si>
  <si>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</si>
  <si>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</si>
  <si>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</si>
  <si>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</si>
  <si>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</si>
  <si>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</si>
  <si>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</si>
  <si>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</si>
  <si>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</si>
  <si>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</si>
  <si>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</si>
  <si>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</si>
  <si>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</si>
  <si>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</si>
  <si>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</si>
  <si>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</si>
  <si>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</si>
  <si>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</si>
  <si>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</si>
  <si>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</si>
  <si>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</si>
  <si>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</si>
  <si>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</si>
  <si>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</si>
  <si>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</si>
  <si>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</si>
  <si>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</si>
  <si>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</si>
  <si>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</si>
  <si>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</si>
  <si>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</si>
  <si>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</si>
  <si>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</si>
  <si>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</si>
  <si>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</si>
  <si>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</si>
  <si>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</si>
  <si>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</si>
  <si>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</si>
  <si>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</si>
  <si>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</si>
  <si>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</si>
  <si>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</si>
  <si>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</si>
  <si>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</si>
  <si>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</si>
  <si>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</si>
  <si>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</si>
  <si>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</si>
  <si>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</si>
  <si>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</si>
  <si>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</si>
  <si>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</si>
  <si>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</si>
  <si>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</si>
  <si>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</si>
  <si>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</si>
  <si>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</si>
  <si>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</si>
  <si>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</si>
  <si>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</si>
  <si>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</si>
  <si>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</si>
  <si>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</si>
  <si>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</si>
  <si>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</si>
  <si>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</si>
  <si>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</si>
  <si>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</si>
  <si>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</si>
  <si>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</si>
  <si>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</si>
  <si>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</si>
  <si>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</si>
  <si>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</si>
  <si>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</si>
  <si>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</si>
  <si>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</si>
  <si>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</si>
  <si>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</si>
  <si>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</si>
  <si>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</si>
  <si>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</si>
  <si>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</si>
  <si>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</si>
  <si>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</si>
  <si>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</si>
  <si>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</si>
  <si>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</si>
  <si>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</si>
  <si>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</si>
  <si>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</si>
  <si>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</si>
  <si>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</si>
  <si>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</si>
  <si>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</si>
  <si>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</si>
  <si>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</si>
  <si>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</si>
  <si>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</si>
  <si>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</si>
  <si>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</si>
  <si>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</si>
  <si>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</si>
  <si>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</si>
  <si>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</si>
  <si>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</si>
  <si>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</si>
  <si>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</si>
  <si>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</si>
  <si>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</si>
  <si>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</si>
  <si>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</si>
  <si>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</si>
  <si>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</si>
  <si>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</si>
  <si>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</si>
  <si>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</si>
  <si>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</si>
  <si>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</si>
  <si>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</si>
  <si>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</si>
  <si>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</si>
  <si>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</si>
  <si>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</si>
  <si>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</si>
  <si>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</si>
  <si>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</si>
  <si>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</si>
  <si>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</si>
  <si>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</si>
  <si>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</si>
  <si>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</si>
  <si>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</si>
  <si>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</si>
  <si>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</si>
  <si>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</si>
  <si>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</si>
  <si>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</si>
  <si>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</si>
  <si>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</si>
  <si>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</si>
  <si>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</si>
  <si>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</si>
  <si>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</si>
  <si>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</si>
  <si>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</si>
  <si>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</si>
  <si>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</si>
  <si>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</si>
  <si>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</si>
  <si>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</si>
  <si>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</si>
  <si>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</si>
  <si>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</si>
  <si>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</si>
  <si>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</si>
  <si>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</si>
  <si>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</si>
  <si>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</si>
  <si>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</si>
  <si>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</si>
  <si>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</si>
  <si>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</si>
  <si>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</si>
  <si>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</si>
  <si>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</si>
  <si>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</si>
  <si>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</si>
  <si>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</si>
  <si>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</si>
  <si>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</si>
  <si>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</si>
  <si>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</si>
  <si>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</si>
  <si>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</si>
  <si>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</si>
  <si>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</si>
  <si>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</si>
  <si>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</si>
  <si>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</si>
  <si>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</si>
  <si>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</si>
  <si>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</si>
  <si>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</si>
  <si>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</si>
  <si>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</si>
  <si>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</si>
  <si>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</si>
  <si>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</si>
  <si>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</si>
  <si>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</si>
  <si>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</si>
  <si>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</si>
  <si>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</si>
  <si>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</si>
  <si>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</si>
  <si>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</si>
  <si>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</si>
  <si>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</si>
  <si>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</si>
  <si>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</si>
  <si>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</si>
  <si>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</si>
  <si>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</si>
  <si>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</si>
  <si>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</si>
  <si>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</si>
  <si>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</si>
  <si>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</si>
  <si>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</si>
  <si>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</si>
  <si>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</si>
  <si>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</si>
  <si>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</si>
  <si>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</si>
  <si>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</si>
  <si>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</si>
  <si>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</si>
  <si>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</si>
  <si>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</si>
  <si>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</si>
  <si>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</si>
  <si>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</si>
  <si>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</si>
  <si>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</si>
  <si>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</si>
  <si>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</si>
  <si>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</si>
  <si>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</si>
  <si>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</si>
  <si>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</si>
  <si>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</si>
  <si>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</si>
  <si>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</si>
  <si>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</si>
  <si>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</si>
  <si>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</si>
  <si>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</si>
  <si>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</si>
  <si>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</si>
  <si>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</si>
  <si>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</si>
  <si>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</si>
  <si>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</si>
  <si>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</si>
  <si>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</si>
  <si>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</si>
  <si>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</si>
  <si>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</si>
  <si>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</si>
  <si>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</si>
  <si>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</si>
  <si>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</si>
  <si>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</si>
  <si>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</si>
  <si>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</si>
  <si>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</si>
  <si>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</si>
  <si>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</si>
  <si>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</si>
  <si>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</si>
  <si>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</si>
  <si>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</si>
  <si>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</si>
  <si>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</si>
  <si>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</si>
  <si>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</si>
  <si>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</si>
  <si>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</si>
  <si>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</si>
  <si>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</si>
  <si>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</si>
  <si>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</si>
  <si>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</si>
  <si>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</si>
  <si>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</si>
  <si>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</si>
  <si>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</si>
  <si>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</si>
  <si>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</si>
  <si>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</si>
  <si>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</si>
  <si>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</si>
  <si>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</si>
  <si>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</si>
  <si>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</si>
  <si>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</si>
  <si>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</si>
  <si>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</si>
  <si>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</si>
  <si>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</si>
  <si>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</si>
  <si>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</si>
  <si>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</si>
  <si>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</si>
  <si>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</si>
  <si>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</si>
  <si>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</si>
  <si>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</si>
  <si>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</si>
  <si>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</si>
  <si>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</si>
  <si>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</si>
  <si>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</si>
  <si>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</si>
  <si>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</si>
  <si>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</si>
  <si>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</si>
  <si>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</si>
  <si>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</si>
  <si>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</si>
  <si>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</si>
  <si>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</si>
  <si>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</si>
  <si>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</si>
  <si>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</si>
  <si>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</si>
  <si>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</si>
  <si>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</si>
  <si>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</si>
  <si>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</si>
  <si>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</si>
  <si>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</si>
  <si>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</si>
  <si>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</si>
  <si>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</si>
  <si>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</si>
  <si>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</si>
  <si>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</si>
  <si>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</si>
  <si>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</si>
  <si>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</si>
  <si>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</si>
  <si>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</si>
  <si>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</si>
  <si>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</si>
  <si>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</si>
  <si>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</si>
  <si>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</si>
  <si>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</si>
  <si>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</si>
  <si>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</si>
  <si>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</si>
  <si>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</si>
  <si>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</si>
  <si>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</si>
  <si>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</si>
  <si>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</si>
  <si>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</si>
  <si>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</si>
  <si>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</si>
  <si>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</si>
  <si>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</si>
  <si>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</si>
  <si>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</si>
  <si>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</si>
  <si>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</si>
  <si>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</si>
  <si>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</si>
  <si>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</si>
  <si>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</si>
  <si>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</si>
  <si>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</si>
  <si>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</si>
  <si>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</si>
  <si>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</si>
  <si>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</si>
  <si>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</si>
  <si>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</si>
  <si>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</si>
  <si>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</si>
  <si>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</si>
  <si>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</si>
  <si>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</si>
  <si>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</si>
  <si>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</si>
  <si>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</si>
  <si>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</si>
  <si>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</si>
  <si>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</si>
  <si>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</si>
  <si>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</si>
  <si>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</si>
  <si>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</si>
  <si>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</si>
  <si>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</si>
  <si>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</si>
  <si>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</si>
  <si>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</si>
  <si>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</si>
  <si>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</si>
  <si>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</si>
  <si>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</si>
  <si>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</si>
  <si>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</si>
  <si>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</si>
  <si>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</si>
  <si>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</si>
  <si>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</si>
  <si>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</si>
  <si>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</si>
  <si>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</si>
  <si>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</si>
  <si>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</si>
  <si>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</si>
  <si>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</si>
  <si>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</si>
  <si>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</si>
  <si>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</si>
  <si>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</si>
  <si>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</si>
  <si>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</si>
  <si>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</si>
  <si>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</si>
  <si>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</si>
  <si>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</si>
  <si>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</si>
  <si>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</si>
  <si>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</si>
  <si>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</si>
  <si>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</si>
  <si>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</si>
  <si>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</si>
  <si>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</si>
  <si>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</si>
  <si>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</si>
  <si>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</si>
  <si>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</si>
  <si>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</si>
  <si>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</si>
  <si>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</si>
  <si>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</si>
  <si>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</si>
  <si>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</si>
  <si>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</si>
  <si>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</si>
  <si>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</si>
  <si>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</si>
  <si>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</si>
  <si>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</si>
  <si>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</si>
  <si>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</si>
  <si>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</si>
  <si>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</si>
  <si>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</si>
  <si>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</si>
  <si>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</si>
  <si>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</si>
  <si>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</si>
  <si>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</si>
  <si>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</si>
  <si>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</si>
  <si>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</si>
  <si>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</si>
  <si>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</si>
  <si>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</si>
  <si>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</si>
  <si>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</si>
  <si>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</si>
  <si>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</si>
  <si>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</si>
  <si>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</si>
  <si>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</si>
  <si>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</si>
  <si>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</si>
  <si>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</si>
  <si>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</si>
  <si>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</si>
  <si>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</si>
  <si>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</si>
  <si>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</si>
  <si>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</si>
  <si>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</si>
  <si>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</si>
  <si>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</si>
  <si>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</si>
  <si>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</si>
  <si>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</si>
  <si>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</si>
  <si>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</si>
  <si>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</si>
  <si>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</si>
  <si>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</si>
  <si>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</si>
  <si>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</si>
  <si>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</si>
  <si>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</si>
  <si>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</si>
  <si>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</si>
  <si>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</si>
  <si>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</si>
  <si>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</si>
  <si>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</si>
  <si>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</si>
  <si>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</si>
  <si>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</si>
  <si>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</si>
  <si>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</si>
  <si>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</si>
  <si>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</si>
  <si>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</si>
  <si>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</si>
  <si>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</si>
  <si>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</si>
  <si>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</si>
  <si>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</si>
  <si>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</si>
  <si>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</si>
  <si>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</si>
  <si>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</si>
  <si>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</si>
  <si>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</si>
  <si>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</si>
  <si>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</si>
  <si>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</si>
  <si>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</si>
  <si>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</si>
  <si>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</si>
  <si>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</si>
  <si>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</si>
  <si>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</si>
  <si>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</si>
  <si>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</si>
  <si>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</si>
  <si>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</si>
  <si>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</si>
  <si>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</si>
  <si>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</si>
  <si>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</si>
  <si>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</si>
  <si>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</si>
  <si>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</si>
  <si>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</si>
  <si>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</si>
  <si>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</si>
  <si>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</si>
  <si>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</si>
  <si>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</si>
  <si>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</si>
  <si>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</si>
  <si>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</si>
  <si>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</si>
  <si>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</si>
  <si>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</si>
  <si>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</si>
  <si>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</si>
  <si>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</si>
  <si>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</si>
  <si>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</si>
  <si>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</si>
  <si>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</si>
  <si>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</si>
  <si>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</si>
  <si>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</si>
  <si>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</si>
  <si>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</si>
  <si>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</si>
  <si>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</si>
  <si>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</si>
  <si>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</si>
  <si>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</si>
  <si>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</si>
  <si>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</si>
  <si>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</si>
  <si>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</si>
  <si>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</si>
  <si>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</si>
  <si>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</si>
  <si>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</si>
  <si>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</si>
  <si>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</si>
  <si>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</si>
  <si>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</si>
  <si>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</si>
  <si>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</si>
  <si>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</si>
  <si>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</si>
  <si>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</si>
  <si>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</si>
  <si>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</si>
  <si>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</si>
  <si>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</si>
  <si>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</si>
  <si>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</si>
  <si>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</si>
  <si>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</si>
  <si>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</si>
  <si>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</si>
  <si>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</si>
  <si>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</si>
  <si>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</si>
  <si>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</si>
  <si>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</si>
  <si>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</si>
  <si>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</si>
  <si>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</si>
  <si>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</si>
  <si>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</si>
  <si>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</si>
  <si>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</si>
  <si>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</si>
  <si>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</si>
  <si>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</si>
  <si>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</si>
  <si>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</si>
  <si>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</si>
  <si>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</si>
  <si>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</si>
  <si>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</si>
  <si>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</si>
  <si>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</si>
  <si>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</si>
  <si>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</si>
  <si>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</si>
  <si>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</si>
  <si>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</si>
  <si>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</si>
  <si>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</si>
  <si>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</si>
  <si>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</si>
  <si>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</si>
  <si>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</si>
  <si>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</si>
  <si>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</si>
  <si>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</si>
  <si>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</si>
  <si>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</si>
  <si>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</si>
  <si>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</si>
  <si>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</si>
  <si>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</si>
  <si>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</si>
  <si>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</si>
  <si>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</si>
  <si>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</si>
  <si>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</si>
  <si>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</si>
  <si>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</si>
  <si>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</si>
  <si>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</si>
  <si>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</si>
  <si>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</si>
  <si>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</si>
  <si>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</si>
  <si>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</si>
  <si>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</si>
  <si>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</si>
  <si>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</si>
  <si>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</si>
  <si>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</si>
  <si>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</si>
  <si>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</si>
  <si>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</si>
  <si>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</si>
  <si>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</si>
  <si>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</si>
  <si>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</si>
  <si>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</si>
  <si>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</si>
  <si>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</si>
  <si>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</si>
  <si>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</si>
  <si>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</si>
  <si>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</si>
  <si>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</si>
  <si>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</si>
  <si>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</si>
  <si>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</si>
  <si>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</si>
  <si>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</si>
  <si>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</si>
  <si>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</si>
  <si>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</si>
  <si>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</si>
  <si>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</si>
  <si>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</si>
  <si>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</si>
  <si>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</si>
  <si>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</si>
  <si>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</si>
  <si>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</si>
  <si>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</si>
  <si>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</si>
  <si>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</si>
  <si>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</si>
  <si>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</si>
  <si>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</si>
  <si>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</si>
  <si>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</si>
  <si>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</si>
  <si>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</si>
  <si>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</si>
  <si>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</si>
  <si>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</si>
  <si>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</si>
  <si>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</si>
  <si>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</si>
  <si>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</si>
  <si>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</si>
  <si>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</si>
  <si>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</si>
  <si>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</si>
  <si>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</si>
  <si>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</si>
  <si>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</si>
  <si>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</si>
  <si>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</si>
  <si>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</si>
  <si>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</si>
  <si>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</si>
  <si>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</si>
  <si>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</si>
  <si>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</si>
  <si>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</si>
  <si>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</si>
  <si>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</si>
  <si>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</si>
  <si>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</si>
  <si>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</si>
  <si>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</si>
  <si>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</si>
  <si>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</si>
  <si>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</si>
  <si>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</si>
  <si>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</si>
  <si>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</si>
  <si>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</si>
  <si>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</si>
  <si>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</si>
  <si>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</si>
  <si>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</si>
  <si>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</si>
  <si>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</si>
  <si>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</si>
  <si>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</si>
  <si>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</si>
  <si>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</si>
  <si>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</si>
  <si>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</si>
  <si>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</si>
  <si>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</si>
  <si>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</si>
  <si>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</si>
  <si>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</si>
  <si>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</si>
  <si>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</si>
  <si>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</si>
  <si>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</si>
  <si>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</si>
  <si>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</si>
  <si>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</si>
  <si>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</si>
  <si>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</si>
  <si>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</si>
  <si>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</si>
  <si>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</si>
  <si>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</si>
  <si>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</si>
  <si>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</si>
  <si>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</si>
  <si>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</si>
  <si>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</si>
  <si>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</si>
  <si>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</si>
  <si>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</si>
  <si>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</si>
  <si>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</si>
  <si>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</si>
  <si>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</si>
  <si>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</si>
  <si>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</si>
  <si>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</si>
  <si>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</si>
  <si>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</si>
  <si>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</si>
  <si>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</si>
  <si>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</si>
  <si>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</si>
  <si>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</si>
  <si>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</si>
  <si>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</si>
  <si>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</si>
  <si>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</si>
  <si>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</si>
  <si>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</si>
  <si>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</si>
  <si>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</si>
  <si>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</si>
  <si>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</si>
  <si>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</si>
  <si>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</si>
  <si>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</si>
  <si>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</si>
  <si>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</si>
  <si>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</si>
  <si>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</si>
  <si>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</si>
  <si>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</si>
  <si>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</si>
  <si>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</si>
  <si>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</si>
  <si>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</si>
  <si>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</si>
  <si>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</si>
  <si>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</si>
  <si>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</si>
  <si>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</si>
  <si>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</si>
  <si>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</si>
  <si>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</si>
  <si>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</si>
  <si>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</si>
  <si>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</si>
  <si>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</si>
  <si>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</si>
  <si>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</si>
  <si>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</si>
  <si>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</si>
  <si>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</si>
  <si>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</si>
  <si>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</si>
  <si>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</si>
  <si>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</si>
  <si>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</si>
  <si>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</si>
  <si>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</si>
  <si>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</si>
  <si>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</si>
  <si>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</si>
  <si>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</si>
  <si>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</si>
  <si>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</si>
  <si>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</si>
  <si>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</si>
  <si>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</si>
  <si>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</si>
  <si>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</si>
  <si>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</si>
  <si>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</si>
  <si>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</si>
  <si>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</si>
  <si>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</si>
  <si>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</si>
  <si>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</si>
  <si>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</si>
  <si>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</si>
  <si>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</si>
  <si>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</si>
  <si>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</si>
  <si>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</si>
  <si>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</si>
  <si>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</si>
  <si>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</si>
  <si>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</si>
  <si>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</si>
  <si>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</si>
  <si>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</si>
  <si>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</si>
  <si>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</si>
  <si>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</si>
  <si>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</si>
  <si>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</si>
  <si>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</si>
  <si>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</si>
  <si>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</si>
  <si>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</si>
  <si>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</si>
  <si>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</si>
  <si>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</si>
  <si>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</si>
  <si>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</si>
  <si>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</si>
  <si>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</si>
  <si>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</si>
  <si>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</si>
  <si>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</si>
  <si>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</si>
  <si>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</si>
  <si>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</si>
  <si>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</si>
  <si>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</si>
  <si>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</si>
  <si>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</si>
  <si>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</si>
  <si>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</si>
  <si>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</si>
  <si>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</si>
  <si>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</si>
  <si>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</si>
  <si>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</si>
  <si>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</si>
  <si>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</si>
  <si>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</si>
  <si>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</si>
  <si>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</si>
  <si>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</si>
  <si>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</si>
  <si>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</si>
  <si>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</si>
  <si>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</si>
  <si>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</si>
  <si>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</si>
  <si>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</si>
  <si>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</si>
  <si>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</si>
  <si>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</si>
  <si>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</si>
  <si>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</si>
  <si>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</si>
  <si>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</si>
  <si>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</si>
  <si>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</si>
  <si>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</si>
  <si>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</si>
  <si>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</si>
  <si>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</si>
  <si>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</si>
  <si>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</si>
  <si>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</si>
  <si>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</si>
  <si>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</si>
  <si>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</si>
  <si>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</si>
  <si>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</si>
  <si>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</si>
  <si>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</si>
  <si>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</si>
  <si>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</si>
  <si>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</si>
  <si>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</si>
  <si>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</si>
  <si>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</si>
  <si>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</si>
  <si>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</si>
  <si>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</si>
  <si>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</si>
  <si>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</si>
  <si>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</si>
  <si>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</si>
  <si>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</si>
  <si>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</si>
  <si>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</si>
  <si>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</si>
  <si>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</si>
  <si>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</si>
  <si>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</si>
  <si>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</si>
  <si>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</si>
  <si>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</si>
  <si>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</si>
  <si>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</si>
  <si>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</si>
  <si>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</si>
  <si>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</si>
  <si>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</si>
  <si>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</si>
  <si>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</si>
  <si>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</si>
  <si>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</si>
  <si>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</si>
  <si>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</si>
  <si>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</si>
  <si>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</si>
  <si>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</si>
  <si>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</si>
  <si>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</si>
  <si>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</si>
  <si>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</si>
  <si>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</si>
  <si>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</si>
  <si>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</si>
  <si>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</si>
  <si>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</si>
  <si>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</si>
  <si>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</si>
  <si>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</si>
  <si>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</si>
  <si>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</si>
  <si>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</si>
  <si>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</si>
  <si>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</si>
  <si>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</si>
  <si>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</si>
  <si>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</si>
  <si>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</si>
  <si>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</si>
  <si>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</si>
  <si>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</si>
  <si>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</si>
  <si>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</si>
  <si>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</si>
  <si>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</si>
  <si>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</si>
  <si>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</si>
  <si>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</si>
  <si>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</si>
  <si>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</si>
  <si>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</si>
  <si>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</si>
  <si>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</si>
  <si>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</si>
  <si>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</si>
  <si>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</si>
  <si>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</si>
  <si>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</si>
  <si>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</si>
  <si>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</si>
  <si>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</si>
  <si>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</si>
  <si>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</si>
  <si>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</si>
  <si>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</si>
  <si>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</si>
  <si>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</si>
  <si>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</si>
  <si>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</si>
  <si>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</si>
  <si>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</si>
  <si>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</si>
  <si>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</si>
  <si>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</si>
  <si>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</si>
  <si>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</si>
  <si>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</si>
  <si>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</si>
  <si>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</si>
  <si>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</si>
  <si>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</si>
  <si>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</si>
  <si>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</si>
  <si>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</si>
  <si>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</si>
  <si>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</si>
  <si>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</si>
  <si>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</si>
  <si>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</si>
  <si>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</si>
  <si>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</si>
  <si>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</si>
  <si>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</si>
  <si>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</si>
  <si>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</si>
  <si>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</si>
  <si>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</si>
  <si>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</si>
  <si>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</si>
  <si>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</si>
  <si>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</si>
  <si>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</si>
  <si>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</si>
  <si>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</si>
  <si>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</si>
  <si>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</si>
  <si>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</si>
  <si>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</si>
  <si>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</si>
  <si>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</si>
  <si>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</si>
  <si>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</si>
  <si>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</si>
  <si>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</si>
  <si>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</si>
  <si>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</si>
  <si>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</si>
  <si>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</si>
  <si>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</si>
  <si>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</si>
  <si>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</si>
  <si>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</si>
  <si>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</si>
  <si>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</si>
  <si>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</si>
  <si>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</si>
  <si>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</si>
  <si>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</si>
  <si>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</si>
  <si>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</si>
  <si>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</si>
  <si>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</si>
  <si>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</si>
  <si>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</si>
  <si>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</si>
  <si>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</si>
  <si>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</si>
  <si>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</si>
  <si>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</si>
  <si>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</si>
  <si>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</si>
  <si>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</si>
  <si>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</si>
  <si>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</si>
  <si>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</si>
  <si>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</si>
  <si>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</si>
  <si>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</si>
  <si>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</si>
  <si>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</si>
  <si>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</si>
  <si>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</si>
  <si>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</si>
  <si>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</si>
  <si>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</si>
  <si>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</si>
  <si>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</si>
  <si>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</si>
  <si>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</si>
  <si>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</si>
  <si>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</si>
  <si>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</si>
  <si>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</si>
  <si>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</si>
  <si>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</si>
  <si>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</si>
  <si>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</si>
  <si>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</si>
  <si>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</si>
  <si>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</si>
  <si>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</si>
  <si>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</si>
  <si>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</si>
  <si>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</si>
  <si>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</si>
  <si>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</si>
  <si>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</si>
  <si>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</si>
  <si>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</si>
  <si>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</si>
  <si>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</si>
  <si>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</si>
  <si>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</si>
  <si>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</si>
  <si>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</si>
  <si>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</si>
  <si>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</si>
  <si>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</si>
  <si>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</si>
  <si>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</si>
  <si>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</si>
  <si>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</si>
  <si>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</si>
  <si>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</si>
  <si>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</si>
  <si>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</si>
  <si>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</si>
  <si>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</si>
  <si>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</si>
  <si>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</si>
  <si>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</si>
  <si>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</si>
  <si>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</si>
  <si>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</si>
  <si>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</si>
  <si>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</si>
  <si>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</si>
  <si>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</si>
  <si>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</si>
  <si>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</si>
  <si>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</si>
  <si>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</si>
  <si>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</si>
  <si>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</si>
  <si>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</si>
  <si>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</si>
  <si>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</si>
  <si>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</si>
  <si>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</si>
  <si>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</si>
  <si>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</si>
  <si>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</si>
  <si>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</si>
  <si>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</si>
  <si>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</si>
  <si>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</si>
  <si>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</si>
  <si>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</si>
  <si>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</si>
  <si>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</si>
  <si>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</si>
  <si>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</si>
  <si>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</si>
  <si>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</si>
  <si>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</si>
  <si>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</si>
  <si>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</si>
  <si>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</si>
  <si>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</si>
  <si>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</si>
  <si>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</si>
  <si>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</si>
  <si>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</si>
  <si>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</si>
  <si>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</si>
  <si>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</si>
  <si>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</si>
  <si>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</si>
  <si>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</si>
  <si>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</si>
  <si>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</si>
  <si>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</si>
  <si>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</si>
  <si>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</si>
  <si>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</si>
  <si>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</si>
  <si>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</si>
  <si>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</si>
  <si>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</si>
  <si>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</si>
  <si>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</si>
  <si>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</si>
  <si>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</si>
  <si>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</si>
  <si>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</si>
  <si>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</si>
  <si>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</si>
  <si>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</si>
  <si>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</si>
  <si>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</si>
  <si>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</si>
  <si>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</si>
  <si>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</si>
  <si>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</si>
  <si>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</si>
  <si>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</si>
  <si>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</si>
  <si>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</si>
  <si>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</si>
  <si>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</si>
  <si>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</si>
  <si>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</si>
  <si>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</si>
  <si>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</si>
  <si>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</si>
  <si>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</si>
  <si>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</si>
  <si>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</si>
  <si>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</si>
  <si>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</si>
  <si>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</si>
  <si>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</si>
  <si>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</si>
  <si>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</si>
  <si>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</si>
  <si>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</si>
  <si>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</si>
  <si>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</si>
  <si>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</si>
  <si>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</si>
  <si>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</si>
  <si>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</si>
  <si>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</si>
  <si>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</si>
  <si>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</si>
  <si>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</si>
  <si>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</si>
  <si>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</si>
  <si>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</si>
  <si>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</si>
  <si>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</si>
  <si>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</si>
  <si>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</si>
  <si>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</si>
  <si>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</si>
  <si>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</si>
  <si>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</si>
  <si>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</si>
  <si>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</si>
  <si>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</si>
  <si>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</si>
  <si>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</si>
  <si>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</si>
  <si>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</si>
  <si>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</si>
  <si>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</si>
  <si>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</si>
  <si>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</si>
  <si>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</si>
  <si>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</si>
  <si>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</si>
  <si>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</si>
  <si>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</si>
  <si>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</si>
  <si>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</si>
  <si>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</si>
  <si>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</si>
  <si>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</si>
  <si>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</si>
  <si>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</si>
  <si>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</si>
  <si>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</si>
  <si>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</si>
  <si>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</si>
  <si>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</si>
  <si>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</si>
  <si>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</si>
  <si>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</si>
  <si>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</si>
  <si>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</si>
  <si>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</si>
  <si>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</si>
  <si>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</si>
  <si>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</si>
  <si>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</si>
  <si>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</si>
  <si>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</si>
  <si>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</si>
  <si>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</si>
  <si>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</si>
  <si>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</si>
  <si>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</si>
  <si>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</si>
  <si>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</si>
  <si>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</si>
  <si>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</si>
  <si>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</si>
  <si>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</si>
  <si>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</si>
  <si>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</si>
  <si>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</si>
  <si>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</si>
  <si>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</si>
  <si>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</si>
  <si>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</si>
  <si>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</si>
  <si>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</si>
  <si>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</si>
  <si>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</si>
  <si>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</si>
  <si>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</si>
  <si>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</si>
  <si>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</si>
  <si>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</si>
  <si>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</si>
  <si>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</si>
  <si>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</si>
  <si>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</si>
  <si>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</si>
  <si>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</si>
  <si>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</si>
  <si>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</si>
  <si>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</si>
  <si>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</si>
  <si>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</si>
  <si>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</si>
  <si>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</si>
  <si>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</si>
  <si>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</si>
  <si>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</si>
  <si>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</si>
  <si>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</si>
  <si>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</si>
  <si>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</si>
  <si>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</si>
  <si>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</si>
  <si>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</si>
  <si>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</si>
  <si>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</si>
  <si>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</si>
  <si>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</si>
  <si>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</si>
  <si>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</si>
  <si>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</si>
  <si>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</si>
  <si>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</si>
  <si>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</si>
  <si>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</si>
  <si>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</si>
  <si>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</si>
  <si>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</si>
  <si>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</si>
  <si>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</si>
  <si>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</si>
  <si>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</si>
  <si>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</si>
  <si>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</si>
  <si>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</si>
  <si>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</si>
  <si>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</si>
  <si>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</si>
  <si>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</si>
  <si>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</si>
  <si>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</si>
  <si>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</si>
  <si>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</si>
  <si>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</si>
  <si>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</si>
  <si>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</si>
  <si>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</si>
  <si>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</si>
  <si>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</si>
  <si>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</si>
  <si>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</si>
  <si>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</si>
  <si>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</si>
  <si>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</si>
  <si>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</si>
  <si>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</si>
  <si>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</si>
  <si>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</si>
  <si>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</si>
  <si>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</si>
  <si>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</si>
  <si>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</si>
  <si>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</si>
  <si>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</si>
  <si>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</si>
  <si>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</si>
  <si>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</si>
  <si>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</si>
  <si>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</si>
  <si>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</si>
  <si>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</si>
  <si>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</si>
  <si>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</si>
  <si>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</si>
  <si>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</si>
  <si>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</si>
  <si>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</si>
  <si>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</si>
  <si>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</si>
  <si>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</si>
  <si>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</si>
  <si>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</si>
  <si>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</si>
  <si>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</si>
  <si>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</si>
  <si>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</si>
  <si>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</si>
  <si>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</si>
  <si>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</si>
  <si>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</si>
  <si>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</si>
  <si>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</si>
  <si>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</si>
  <si>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</si>
  <si>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</si>
  <si>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</si>
  <si>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</si>
  <si>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</si>
  <si>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</si>
  <si>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</si>
  <si>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</si>
  <si>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</si>
  <si>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</si>
  <si>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</si>
  <si>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</si>
  <si>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</si>
  <si>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</si>
  <si>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</si>
  <si>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</si>
  <si>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</si>
  <si>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</si>
  <si>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</si>
  <si>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</si>
  <si>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</si>
  <si>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</si>
  <si>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</si>
  <si>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</si>
  <si>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</si>
  <si>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</si>
  <si>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</si>
  <si>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</si>
  <si>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</si>
  <si>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</si>
  <si>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</si>
  <si>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</si>
  <si>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</si>
  <si>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</si>
  <si>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</si>
  <si>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</si>
  <si>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</si>
  <si>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</si>
  <si>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</si>
  <si>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</si>
  <si>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</si>
  <si>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</si>
  <si>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</si>
  <si>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</si>
  <si>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</si>
  <si>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</si>
  <si>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</si>
  <si>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</si>
  <si>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</si>
  <si>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</si>
  <si>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</si>
  <si>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</si>
  <si>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</si>
  <si>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</si>
  <si>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</si>
  <si>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</si>
  <si>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</si>
  <si>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</si>
  <si>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</si>
  <si>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</si>
  <si>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</si>
  <si>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</si>
  <si>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</si>
  <si>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</si>
  <si>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</si>
  <si>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</si>
  <si>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</si>
  <si>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</si>
  <si>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</si>
  <si>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</si>
  <si>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</si>
  <si>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</si>
  <si>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</si>
  <si>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</si>
  <si>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</si>
  <si>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</si>
  <si>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</si>
  <si>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</si>
  <si>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</si>
  <si>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</si>
  <si>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</si>
  <si>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</si>
  <si>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</si>
  <si>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</si>
  <si>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</si>
  <si>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</si>
  <si>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</si>
  <si>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</si>
  <si>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</si>
  <si>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</si>
  <si>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</si>
  <si>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</si>
  <si>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</si>
  <si>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</si>
  <si>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</si>
  <si>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</si>
  <si>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</si>
  <si>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</si>
  <si>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</si>
  <si>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</si>
  <si>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</si>
  <si>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</si>
  <si>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</si>
  <si>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</si>
  <si>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</si>
  <si>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</si>
  <si>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</si>
  <si>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</si>
  <si>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</si>
  <si>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</si>
  <si>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</si>
  <si>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</si>
  <si>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</si>
  <si>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</si>
  <si>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</si>
  <si>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</si>
  <si>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</si>
  <si>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</si>
  <si>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</si>
  <si>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</si>
  <si>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</si>
  <si>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</si>
  <si>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</si>
  <si>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</si>
  <si>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</si>
  <si>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</si>
  <si>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</si>
  <si>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</si>
  <si>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</si>
  <si>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</si>
  <si>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</si>
  <si>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</si>
  <si>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</si>
  <si>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</si>
  <si>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</si>
  <si>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</si>
  <si>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</si>
  <si>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</si>
  <si>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</si>
  <si>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</si>
  <si>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</si>
  <si>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</si>
  <si>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</si>
  <si>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</si>
  <si>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</si>
  <si>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</si>
  <si>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</si>
  <si>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</si>
  <si>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</si>
  <si>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</si>
  <si>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</si>
  <si>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</si>
  <si>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</si>
  <si>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</si>
  <si>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</si>
  <si>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</si>
  <si>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</si>
  <si>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</si>
  <si>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</si>
  <si>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</si>
  <si>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</si>
  <si>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</si>
  <si>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</si>
  <si>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</si>
  <si>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</si>
  <si>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</si>
  <si>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</si>
  <si>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</si>
  <si>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</si>
  <si>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</si>
  <si>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</si>
  <si>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</si>
  <si>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</si>
  <si>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</si>
  <si>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</si>
  <si>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</si>
  <si>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</si>
  <si>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</si>
  <si>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</si>
  <si>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</si>
  <si>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</si>
  <si>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</si>
  <si>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</si>
  <si>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</si>
  <si>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</si>
  <si>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</si>
  <si>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</si>
  <si>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</si>
  <si>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</si>
  <si>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</si>
  <si>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</si>
  <si>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</si>
  <si>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</si>
  <si>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</si>
  <si>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</si>
  <si>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</si>
  <si>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</si>
  <si>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</si>
  <si>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</si>
  <si>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</si>
  <si>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</si>
  <si>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</si>
  <si>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</si>
  <si>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</si>
  <si>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</si>
  <si>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</si>
  <si>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</si>
  <si>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</si>
  <si>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</si>
  <si>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</si>
  <si>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</si>
  <si>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</si>
  <si>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</si>
  <si>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</si>
  <si>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</si>
  <si>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</si>
  <si>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</si>
  <si>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</si>
  <si>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</si>
  <si>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</si>
  <si>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</si>
  <si>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</si>
  <si>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</si>
  <si>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</si>
  <si>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</si>
  <si>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</si>
  <si>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</si>
  <si>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</si>
  <si>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</si>
  <si>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</si>
  <si>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</si>
  <si>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</si>
  <si>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</si>
  <si>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</si>
  <si>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</si>
  <si>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</si>
  <si>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</si>
  <si>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</si>
  <si>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</si>
  <si>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</si>
  <si>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</si>
  <si>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</si>
  <si>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</si>
  <si>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</si>
  <si>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</si>
  <si>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</si>
  <si>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</si>
  <si>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</si>
  <si>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</si>
  <si>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</si>
  <si>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</si>
  <si>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</si>
  <si>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</si>
  <si>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</si>
  <si>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</si>
  <si>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</si>
  <si>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</si>
  <si>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</si>
  <si>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</si>
  <si>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</si>
  <si>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</si>
  <si>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</si>
  <si>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</si>
  <si>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</si>
  <si>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</si>
  <si>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</si>
  <si>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</si>
  <si>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</si>
  <si>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</si>
  <si>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</si>
  <si>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</si>
  <si>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</si>
  <si>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</si>
  <si>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</si>
  <si>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</si>
  <si>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</si>
  <si>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</si>
  <si>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</si>
  <si>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</si>
  <si>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</si>
  <si>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</si>
  <si>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</si>
  <si>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</si>
  <si>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</si>
  <si>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</si>
  <si>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</si>
  <si>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</si>
  <si>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</si>
  <si>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</si>
  <si>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</si>
  <si>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</si>
  <si>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</si>
  <si>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</si>
  <si>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</si>
  <si>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</si>
  <si>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</si>
  <si>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</si>
  <si>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</si>
  <si>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</si>
  <si>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</si>
  <si>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</si>
  <si>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</si>
  <si>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</si>
  <si>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</si>
  <si>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</si>
  <si>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</si>
  <si>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</si>
  <si>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</si>
  <si>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</si>
  <si>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</si>
  <si>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</si>
  <si>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</si>
  <si>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</si>
  <si>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</si>
  <si>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</si>
  <si>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</si>
  <si>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</si>
  <si>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</si>
  <si>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</si>
  <si>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</si>
  <si>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</si>
  <si>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</si>
  <si>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</si>
  <si>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</si>
  <si>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</si>
  <si>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</si>
  <si>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</si>
  <si>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</si>
  <si>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</si>
  <si>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</si>
  <si>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</si>
  <si>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</si>
  <si>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</si>
  <si>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</si>
  <si>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</si>
  <si>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</si>
  <si>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</si>
  <si>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</si>
  <si>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</si>
  <si>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</si>
  <si>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</si>
  <si>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</si>
  <si>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</si>
  <si>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</si>
  <si>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</si>
  <si>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</si>
  <si>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</si>
  <si>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</si>
  <si>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</si>
  <si>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</si>
  <si>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</si>
  <si>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</si>
  <si>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</si>
  <si>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</si>
  <si>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</si>
  <si>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</si>
  <si>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</si>
  <si>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</si>
  <si>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</si>
  <si>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</si>
  <si>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</si>
  <si>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</si>
  <si>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</si>
  <si>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</si>
  <si>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</si>
  <si>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</si>
  <si>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</si>
  <si>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</si>
  <si>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</si>
  <si>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</si>
  <si>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</si>
  <si>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</si>
  <si>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</si>
  <si>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</si>
  <si>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</si>
  <si>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</si>
  <si>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</si>
  <si>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</si>
  <si>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</si>
  <si>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</si>
  <si>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</si>
  <si>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</si>
  <si>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</si>
  <si>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</si>
  <si>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</si>
  <si>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</si>
  <si>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</si>
  <si>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</si>
  <si>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</si>
  <si>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</si>
  <si>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</si>
  <si>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</si>
  <si>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</si>
  <si>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</si>
  <si>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</si>
  <si>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</si>
  <si>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</si>
  <si>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</si>
  <si>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</si>
  <si>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</si>
  <si>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</si>
  <si>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</si>
  <si>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</si>
  <si>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</si>
  <si>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</si>
  <si>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</si>
  <si>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</si>
  <si>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</si>
  <si>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</si>
  <si>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</si>
  <si>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</si>
  <si>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</si>
  <si>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</si>
  <si>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</si>
  <si>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</si>
  <si>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</si>
  <si>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</si>
  <si>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</si>
  <si>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</si>
  <si>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</si>
  <si>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</si>
  <si>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</si>
  <si>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</si>
  <si>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</si>
  <si>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</si>
  <si>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</si>
  <si>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</si>
  <si>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</si>
  <si>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</si>
  <si>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</si>
  <si>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</si>
  <si>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</si>
  <si>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</si>
  <si>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</si>
  <si>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</si>
  <si>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</si>
  <si>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</si>
  <si>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</si>
  <si>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</si>
  <si>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</si>
  <si>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</si>
  <si>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</si>
  <si>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</si>
  <si>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</si>
  <si>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</si>
  <si>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</si>
  <si>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</si>
  <si>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</si>
  <si>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</si>
  <si>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</si>
  <si>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</si>
  <si>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</si>
  <si>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</si>
  <si>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</si>
  <si>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</si>
  <si>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</si>
  <si>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</si>
  <si>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</si>
  <si>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</si>
  <si>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</si>
  <si>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</si>
  <si>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</si>
  <si>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</si>
  <si>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</si>
  <si>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</si>
  <si>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</si>
  <si>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</si>
  <si>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</si>
  <si>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</si>
  <si>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</si>
  <si>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</si>
  <si>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</si>
  <si>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</si>
  <si>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</si>
  <si>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</si>
  <si>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</si>
  <si>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</si>
  <si>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</si>
  <si>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</si>
  <si>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</si>
  <si>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</si>
  <si>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</si>
  <si>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</si>
  <si>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</si>
  <si>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</si>
  <si>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</si>
  <si>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</si>
  <si>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</si>
  <si>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</si>
  <si>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</si>
  <si>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</si>
  <si>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</si>
  <si>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</si>
  <si>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</si>
  <si>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</si>
  <si>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</si>
  <si>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</si>
  <si>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</si>
  <si>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</si>
  <si>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</si>
  <si>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</si>
  <si>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</si>
  <si>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</si>
  <si>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</si>
  <si>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</si>
  <si>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</si>
  <si>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</si>
  <si>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</si>
  <si>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</si>
  <si>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</si>
  <si>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</si>
  <si>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</si>
  <si>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</si>
  <si>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</si>
  <si>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</si>
  <si>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</si>
  <si>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</si>
  <si>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</si>
  <si>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</si>
  <si>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</si>
  <si>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</si>
  <si>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</si>
  <si>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</si>
  <si>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</si>
  <si>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</si>
  <si>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</si>
  <si>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</si>
  <si>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</si>
  <si>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</si>
  <si>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</si>
  <si>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</si>
  <si>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</si>
  <si>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</si>
  <si>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</si>
  <si>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</si>
  <si>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</si>
  <si>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</si>
  <si>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</si>
  <si>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</si>
  <si>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</si>
  <si>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</si>
  <si>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</si>
  <si>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</si>
  <si>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</si>
  <si>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</si>
  <si>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</si>
  <si>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</si>
  <si>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</si>
  <si>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</si>
  <si>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</si>
  <si>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</si>
  <si>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</si>
  <si>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</si>
  <si>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</si>
  <si>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</si>
  <si>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</si>
  <si>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</si>
  <si>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</si>
  <si>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</si>
  <si>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</si>
  <si>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</si>
  <si>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</si>
  <si>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</si>
  <si>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</si>
  <si>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</si>
  <si>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</si>
  <si>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</si>
  <si>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</si>
  <si>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</si>
  <si>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</si>
  <si>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</si>
  <si>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</si>
  <si>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</si>
  <si>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</si>
  <si>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</si>
  <si>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</si>
  <si>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</si>
  <si>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</si>
  <si>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</si>
  <si>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</si>
  <si>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</si>
  <si>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</si>
  <si>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</si>
  <si>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</si>
  <si>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</si>
  <si>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</si>
  <si>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</si>
  <si>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</si>
  <si>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</si>
  <si>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</si>
  <si>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</si>
  <si>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</si>
  <si>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</si>
  <si>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</si>
  <si>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</si>
  <si>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</si>
  <si>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</si>
  <si>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</si>
  <si>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</si>
  <si>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</si>
  <si>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</si>
  <si>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</si>
  <si>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</si>
  <si>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</si>
  <si>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</si>
  <si>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</si>
  <si>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</si>
  <si>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</si>
  <si>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</si>
  <si>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</si>
  <si>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</si>
  <si>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</si>
  <si>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</si>
  <si>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</si>
  <si>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</si>
  <si>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</si>
  <si>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</si>
  <si>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</si>
  <si>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</si>
  <si>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</si>
  <si>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</si>
  <si>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</si>
  <si>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</si>
  <si>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</si>
  <si>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</si>
  <si>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</si>
  <si>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</si>
  <si>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</si>
  <si>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</si>
  <si>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</si>
  <si>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</si>
  <si>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</si>
  <si>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</si>
  <si>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</si>
  <si>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</si>
  <si>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</si>
  <si>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</si>
  <si>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</si>
  <si>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</si>
  <si>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</si>
  <si>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</si>
  <si>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</si>
  <si>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</si>
  <si>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</si>
  <si>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</si>
  <si>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</si>
  <si>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</si>
  <si>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</si>
  <si>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</si>
  <si>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</si>
  <si>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</si>
  <si>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</si>
  <si>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</si>
  <si>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</si>
  <si>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</si>
  <si>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</si>
  <si>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</si>
  <si>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</si>
  <si>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</si>
  <si>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</si>
  <si>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</si>
  <si>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</si>
  <si>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</si>
  <si>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</si>
  <si>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</si>
  <si>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</si>
  <si>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</si>
  <si>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</si>
  <si>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</si>
  <si>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</si>
  <si>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</si>
  <si>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</si>
  <si>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</si>
  <si>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</si>
  <si>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</si>
  <si>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</si>
  <si>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</si>
  <si>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</si>
  <si>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</si>
  <si>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</si>
  <si>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</si>
  <si>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</si>
  <si>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</si>
  <si>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</si>
  <si>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</si>
  <si>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</si>
  <si>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</si>
  <si>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</si>
  <si>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</si>
  <si>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</si>
  <si>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</si>
  <si>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</si>
  <si>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</si>
  <si>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</si>
  <si>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</si>
  <si>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</si>
  <si>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</si>
  <si>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</si>
  <si>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</si>
  <si>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</si>
  <si>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</si>
  <si>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</si>
  <si>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</si>
  <si>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</si>
  <si>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</si>
  <si>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</si>
  <si>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</si>
  <si>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</si>
  <si>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</si>
  <si>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</si>
  <si>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</si>
  <si>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</si>
  <si>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</si>
  <si>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</si>
  <si>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</si>
  <si>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</si>
  <si>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</si>
  <si>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</si>
  <si>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</si>
  <si>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</si>
  <si>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</si>
  <si>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</si>
  <si>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</si>
  <si>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</si>
  <si>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</si>
  <si>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</si>
  <si>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</si>
  <si>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</si>
  <si>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</si>
  <si>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</si>
  <si>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</si>
  <si>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</si>
  <si>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</si>
  <si>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</si>
  <si>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</si>
  <si>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</si>
  <si>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</si>
  <si>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</si>
  <si>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</si>
  <si>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</si>
  <si>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</si>
  <si>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</si>
  <si>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</si>
  <si>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</si>
  <si>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</si>
  <si>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</si>
  <si>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</si>
  <si>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</si>
  <si>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</si>
  <si>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</si>
  <si>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</si>
  <si>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</si>
  <si>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</si>
  <si>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</si>
  <si>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</si>
  <si>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</si>
  <si>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</si>
  <si>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</si>
  <si>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</si>
  <si>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</si>
  <si>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</si>
  <si>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</si>
  <si>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</si>
  <si>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</si>
  <si>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</si>
  <si>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</si>
  <si>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</si>
  <si>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</si>
  <si>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</si>
  <si>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</si>
  <si>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</si>
  <si>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</si>
  <si>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</si>
  <si>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</si>
  <si>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</si>
  <si>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</si>
  <si>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</si>
  <si>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</si>
  <si>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</si>
  <si>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</si>
  <si>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</si>
  <si>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</si>
  <si>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</si>
  <si>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</si>
  <si>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</si>
  <si>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</si>
  <si>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</si>
  <si>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</si>
  <si>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</si>
  <si>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</si>
  <si>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</si>
  <si>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</si>
  <si>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</si>
  <si>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</si>
  <si>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</si>
  <si>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</si>
  <si>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</si>
  <si>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</si>
  <si>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</si>
  <si>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</si>
  <si>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</si>
  <si>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</si>
  <si>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</si>
  <si>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</si>
  <si>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</si>
  <si>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</si>
  <si>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</si>
  <si>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</si>
  <si>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</si>
  <si>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</si>
  <si>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</si>
  <si>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</si>
  <si>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</si>
  <si>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</si>
  <si>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</si>
  <si>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</si>
  <si>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</si>
  <si>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</si>
  <si>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</si>
  <si>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</si>
  <si>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</si>
  <si>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</si>
  <si>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</si>
  <si>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</si>
  <si>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</si>
  <si>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</si>
  <si>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</si>
  <si>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</si>
  <si>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</si>
  <si>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</si>
  <si>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</si>
  <si>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</si>
  <si>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</si>
  <si>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</si>
  <si>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</si>
  <si>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</si>
  <si>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</si>
  <si>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</si>
  <si>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</si>
  <si>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</si>
  <si>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</si>
  <si>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</si>
  <si>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</si>
  <si>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</si>
  <si>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</si>
  <si>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</si>
  <si>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</si>
  <si>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</si>
  <si>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</si>
  <si>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</si>
  <si>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</si>
  <si>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</si>
  <si>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</si>
  <si>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</si>
  <si>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</si>
  <si>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</si>
  <si>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</si>
  <si>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</si>
  <si>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</si>
  <si>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</si>
  <si>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</si>
  <si>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</si>
  <si>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</si>
  <si>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</si>
  <si>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</si>
  <si>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</si>
  <si>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</si>
  <si>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</si>
  <si>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</si>
  <si>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</si>
  <si>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</si>
  <si>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</si>
  <si>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</si>
  <si>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</si>
  <si>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</si>
  <si>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</si>
  <si>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</si>
  <si>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</si>
  <si>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</si>
  <si>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</si>
  <si>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</si>
  <si>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</si>
  <si>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</si>
  <si>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</si>
  <si>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</si>
  <si>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</si>
  <si>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</si>
  <si>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</si>
  <si>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</si>
  <si>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</si>
  <si>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</si>
  <si>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</si>
  <si>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</si>
  <si>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</si>
  <si>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</si>
  <si>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</si>
  <si>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</si>
  <si>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</si>
  <si>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</si>
  <si>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</si>
  <si>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</si>
  <si>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</si>
  <si>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</si>
  <si>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</si>
  <si>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</si>
  <si>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</si>
  <si>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</si>
  <si>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</si>
  <si>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</si>
  <si>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</si>
  <si>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</si>
  <si>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</si>
  <si>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</si>
  <si>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</si>
  <si>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</si>
  <si>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</si>
  <si>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</si>
  <si>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</si>
  <si>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</si>
  <si>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</si>
  <si>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</si>
  <si>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</si>
  <si>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</si>
  <si>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</si>
  <si>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</si>
  <si>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</si>
  <si>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</si>
  <si>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</si>
  <si>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</si>
  <si>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</si>
  <si>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</si>
  <si>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</si>
  <si>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</si>
  <si>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</si>
  <si>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</si>
  <si>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</si>
  <si>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</si>
  <si>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</si>
  <si>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</si>
  <si>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</si>
  <si>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</si>
  <si>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</si>
  <si>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</si>
  <si>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</si>
  <si>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</si>
  <si>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</si>
  <si>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</si>
  <si>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</si>
  <si>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</si>
  <si>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</si>
  <si>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</si>
  <si>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</si>
  <si>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</si>
  <si>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</si>
  <si>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</si>
  <si>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</si>
  <si>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</si>
  <si>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</si>
  <si>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</si>
  <si>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</si>
  <si>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</si>
  <si>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</si>
  <si>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</si>
  <si>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</si>
  <si>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</si>
  <si>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</si>
  <si>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</si>
  <si>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</si>
  <si>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</si>
  <si>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</si>
  <si>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</si>
  <si>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</si>
  <si>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</si>
  <si>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</si>
  <si>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</si>
  <si>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</si>
  <si>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</si>
  <si>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</si>
  <si>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</si>
  <si>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</si>
  <si>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</si>
  <si>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</si>
  <si>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</si>
  <si>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</si>
  <si>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</si>
  <si>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</si>
  <si>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</si>
  <si>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</si>
  <si>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</si>
  <si>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</si>
  <si>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</si>
  <si>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</si>
  <si>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</si>
  <si>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</si>
  <si>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</si>
  <si>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</si>
  <si>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</si>
  <si>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</si>
  <si>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</si>
  <si>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</si>
  <si>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</si>
  <si>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</si>
  <si>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</si>
  <si>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</si>
  <si>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</si>
  <si>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</si>
  <si>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</si>
  <si>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</si>
  <si>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</si>
  <si>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</si>
  <si>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</si>
  <si>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</si>
  <si>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</si>
  <si>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</si>
  <si>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</si>
  <si>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</si>
  <si>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</si>
  <si>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</si>
  <si>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</si>
  <si>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</si>
  <si>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</si>
  <si>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</si>
  <si>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</si>
  <si>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</si>
  <si>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</si>
  <si>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</si>
  <si>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</si>
  <si>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</si>
  <si>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</si>
  <si>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</si>
  <si>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</si>
  <si>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</si>
  <si>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</si>
  <si>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</si>
  <si>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</si>
  <si>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</si>
  <si>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</si>
  <si>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</si>
  <si>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</si>
  <si>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</si>
  <si>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</si>
  <si>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</si>
  <si>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</si>
  <si>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</si>
  <si>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</si>
  <si>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</si>
  <si>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</si>
  <si>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</si>
  <si>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</si>
  <si>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</si>
  <si>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</si>
  <si>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</si>
  <si>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</si>
  <si>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</si>
  <si>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</si>
  <si>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</si>
  <si>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</si>
  <si>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</si>
  <si>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</si>
  <si>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</si>
  <si>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</si>
  <si>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</si>
  <si>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</si>
  <si>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</si>
  <si>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</si>
  <si>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</si>
  <si>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</si>
  <si>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</si>
  <si>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</si>
  <si>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</si>
  <si>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</si>
  <si>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</si>
  <si>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</si>
  <si>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</si>
  <si>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</si>
  <si>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</si>
  <si>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</si>
  <si>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</si>
  <si>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</si>
  <si>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</si>
  <si>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</si>
  <si>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</si>
  <si>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</si>
  <si>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</si>
  <si>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</si>
  <si>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</si>
  <si>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</si>
  <si>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</si>
  <si>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</si>
  <si>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</si>
  <si>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</si>
  <si>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</si>
  <si>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</si>
  <si>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</si>
  <si>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</si>
  <si>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</si>
  <si>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</si>
  <si>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</si>
  <si>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</si>
  <si>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</si>
  <si>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</si>
  <si>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</si>
  <si>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</si>
  <si>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</si>
  <si>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</si>
  <si>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</si>
  <si>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</si>
  <si>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</si>
  <si>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</si>
  <si>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</si>
  <si>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</si>
  <si>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</si>
  <si>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</si>
  <si>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</si>
  <si>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</si>
  <si>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</si>
  <si>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</si>
  <si>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</si>
  <si>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</si>
  <si>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</si>
  <si>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</si>
  <si>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</si>
  <si>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</si>
  <si>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</si>
  <si>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</si>
  <si>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</si>
  <si>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</si>
  <si>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</si>
  <si>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</si>
  <si>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</si>
  <si>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</si>
  <si>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</si>
  <si>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</si>
  <si>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</si>
  <si>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</si>
  <si>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</si>
  <si>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</si>
  <si>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</si>
  <si>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</si>
  <si>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</si>
  <si>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</si>
  <si>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</si>
  <si>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</si>
  <si>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</si>
  <si>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</si>
  <si>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</si>
  <si>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</si>
  <si>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</si>
  <si>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</si>
  <si>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</si>
  <si>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</si>
  <si>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</si>
  <si>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</si>
  <si>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</si>
  <si>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</si>
  <si>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</si>
  <si>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</si>
  <si>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</si>
  <si>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</si>
  <si>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</si>
  <si>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</si>
  <si>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</si>
  <si>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</si>
  <si>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</si>
  <si>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</si>
  <si>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</si>
  <si>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</si>
  <si>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</si>
  <si>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</si>
  <si>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</si>
  <si>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</si>
  <si>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</si>
  <si>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</si>
  <si>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</si>
  <si>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</si>
  <si>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</si>
  <si>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</si>
  <si>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</si>
  <si>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</si>
  <si>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</si>
  <si>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</si>
  <si>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</si>
  <si>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</si>
  <si>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</si>
  <si>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</si>
  <si>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</si>
  <si>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</si>
  <si>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</si>
  <si>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</si>
  <si>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</si>
  <si>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</si>
  <si>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</si>
  <si>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</si>
  <si>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</si>
  <si>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</si>
  <si>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</si>
  <si>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</si>
  <si>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</si>
  <si>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</si>
  <si>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</si>
  <si>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</si>
  <si>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</si>
  <si>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</si>
  <si>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</si>
  <si>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</si>
  <si>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</si>
  <si>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</si>
  <si>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</si>
  <si>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</si>
  <si>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</si>
  <si>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</si>
  <si>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</si>
  <si>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</si>
  <si>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</si>
  <si>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</si>
  <si>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</si>
  <si>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</si>
  <si>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</si>
  <si>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</si>
  <si>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</si>
  <si>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</si>
  <si>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</si>
  <si>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</si>
  <si>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</si>
  <si>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</si>
  <si>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</si>
  <si>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</si>
  <si>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</si>
  <si>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</si>
  <si>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</si>
  <si>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</si>
  <si>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</si>
  <si>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</si>
  <si>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</si>
  <si>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</si>
  <si>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</si>
  <si>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</si>
  <si>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</si>
  <si>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</si>
  <si>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</si>
  <si>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</si>
  <si>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</si>
  <si>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</si>
  <si>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</si>
  <si>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</si>
  <si>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</si>
  <si>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</si>
  <si>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</si>
  <si>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</si>
  <si>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</si>
  <si>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</si>
  <si>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</si>
  <si>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</si>
  <si>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</si>
  <si>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</si>
  <si>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</si>
  <si>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</si>
  <si>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</si>
  <si>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</si>
  <si>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</si>
  <si>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</si>
  <si>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</si>
  <si>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</si>
  <si>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</si>
  <si>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</si>
  <si>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</si>
  <si>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</si>
  <si>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</si>
  <si>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</si>
  <si>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</si>
  <si>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</si>
  <si>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</si>
  <si>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</si>
  <si>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</si>
  <si>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</si>
  <si>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</si>
  <si>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</si>
  <si>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</si>
  <si>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</si>
  <si>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</si>
  <si>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</si>
  <si>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</si>
  <si>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</si>
  <si>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</si>
  <si>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</si>
  <si>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</si>
  <si>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</si>
  <si>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</si>
  <si>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</si>
  <si>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</si>
  <si>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</si>
  <si>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</si>
  <si>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</si>
  <si>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</si>
  <si>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</si>
  <si>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</si>
  <si>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</si>
  <si>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</si>
  <si>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</si>
  <si>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</si>
  <si>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</si>
  <si>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</si>
  <si>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</si>
  <si>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</si>
  <si>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</si>
  <si>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</si>
  <si>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</si>
  <si>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</si>
  <si>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</si>
  <si>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</si>
  <si>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</si>
  <si>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</si>
  <si>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</si>
  <si>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</si>
  <si>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</si>
  <si>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</si>
  <si>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</si>
  <si>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</si>
  <si>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</si>
  <si>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</si>
  <si>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</si>
  <si>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</si>
  <si>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</si>
  <si>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</si>
  <si>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</si>
  <si>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</si>
  <si>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</si>
  <si>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</si>
  <si>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</si>
  <si>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</si>
  <si>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</si>
  <si>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</si>
  <si>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</si>
  <si>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</si>
  <si>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</si>
  <si>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</si>
  <si>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</si>
  <si>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</si>
  <si>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</si>
  <si>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</si>
  <si>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</si>
  <si>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</si>
  <si>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</si>
  <si>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</si>
  <si>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</si>
  <si>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</si>
  <si>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</si>
  <si>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</si>
  <si>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</si>
  <si>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</si>
  <si>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</si>
  <si>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</si>
  <si>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</si>
  <si>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</si>
  <si>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</si>
  <si>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</si>
  <si>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</si>
  <si>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</si>
  <si>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</si>
  <si>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</si>
  <si>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</si>
  <si>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</si>
  <si>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</si>
  <si>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</si>
  <si>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</si>
  <si>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</si>
  <si>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</si>
  <si>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</si>
  <si>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</si>
  <si>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</si>
  <si>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</si>
  <si>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</si>
  <si>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</si>
  <si>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</si>
  <si>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</si>
  <si>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</si>
  <si>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</si>
  <si>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</si>
  <si>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</si>
  <si>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</si>
  <si>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</si>
  <si>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</si>
  <si>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</si>
  <si>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</si>
  <si>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</si>
  <si>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</si>
  <si>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</si>
  <si>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</si>
  <si>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</si>
  <si>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</si>
  <si>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</si>
  <si>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</si>
  <si>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</si>
  <si>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</si>
  <si>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</si>
  <si>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</si>
  <si>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</si>
  <si>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</si>
  <si>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</si>
  <si>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</si>
  <si>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</si>
  <si>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</si>
  <si>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</si>
  <si>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</si>
  <si>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</si>
  <si>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</si>
  <si>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</si>
  <si>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</si>
  <si>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</si>
  <si>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</si>
  <si>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</si>
  <si>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</si>
  <si>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</si>
  <si>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</si>
  <si>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</si>
  <si>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</si>
  <si>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</si>
  <si>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</si>
  <si>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</si>
  <si>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</si>
  <si>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</si>
  <si>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</si>
  <si>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</si>
  <si>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</si>
  <si>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</si>
  <si>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</si>
  <si>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</si>
  <si>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</si>
  <si>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</si>
  <si>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</si>
  <si>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</si>
  <si>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</si>
  <si>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</si>
  <si>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</si>
  <si>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</si>
  <si>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</si>
  <si>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</si>
  <si>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</si>
  <si>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</si>
  <si>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</si>
  <si>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</si>
  <si>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</si>
  <si>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</si>
  <si>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</si>
  <si>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</si>
  <si>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</si>
  <si>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</si>
  <si>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</si>
  <si>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</si>
  <si>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</si>
  <si>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</si>
  <si>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</si>
  <si>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</si>
  <si>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</si>
  <si>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</si>
  <si>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</si>
  <si>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</si>
  <si>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</si>
  <si>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</si>
  <si>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</si>
  <si>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</si>
  <si>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</si>
  <si>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</si>
  <si>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</si>
  <si>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</si>
  <si>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</si>
  <si>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</si>
  <si>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</si>
  <si>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</si>
  <si>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</si>
  <si>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</si>
  <si>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</si>
  <si>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</si>
  <si>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</si>
  <si>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</si>
  <si>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</si>
  <si>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</si>
  <si>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</si>
  <si>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</si>
  <si>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</si>
  <si>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</si>
  <si>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</si>
  <si>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</si>
  <si>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</si>
  <si>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</si>
  <si>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</si>
  <si>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</si>
  <si>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</si>
  <si>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</si>
  <si>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</si>
  <si>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</si>
  <si>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</si>
  <si>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</si>
  <si>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</si>
  <si>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</si>
  <si>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</si>
  <si>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</si>
  <si>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</si>
  <si>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</si>
  <si>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</si>
  <si>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</si>
  <si>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</si>
  <si>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</si>
  <si>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</si>
  <si>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</si>
  <si>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</si>
  <si>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</si>
  <si>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</si>
  <si>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</si>
  <si>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</si>
  <si>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</si>
  <si>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</si>
  <si>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</si>
  <si>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</si>
  <si>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</si>
  <si>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</si>
  <si>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</si>
  <si>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</si>
  <si>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</si>
  <si>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</si>
  <si>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</si>
  <si>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</si>
  <si>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</si>
  <si>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</si>
  <si>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</si>
  <si>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</si>
  <si>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</si>
  <si>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</si>
  <si>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</si>
  <si>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</si>
  <si>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</si>
  <si>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</si>
  <si>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</si>
  <si>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</si>
  <si>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</si>
  <si>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</si>
  <si>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</si>
  <si>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</si>
  <si>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</si>
  <si>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</si>
  <si>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</si>
  <si>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</si>
  <si>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</si>
  <si>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</si>
  <si>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</si>
  <si>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</si>
  <si>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</si>
  <si>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</si>
  <si>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</si>
  <si>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</si>
  <si>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</si>
  <si>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</si>
  <si>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</si>
  <si>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</si>
  <si>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</si>
  <si>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</si>
  <si>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</si>
  <si>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</si>
  <si>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</si>
  <si>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</si>
  <si>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</si>
  <si>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</si>
  <si>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</si>
  <si>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</si>
  <si>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</si>
  <si>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</si>
  <si>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</si>
  <si>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</si>
  <si>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</si>
  <si>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</si>
  <si>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</si>
  <si>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</si>
  <si>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</si>
  <si>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</si>
  <si>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</si>
  <si>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</si>
  <si>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</si>
  <si>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</si>
  <si>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</si>
  <si>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</si>
  <si>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</si>
  <si>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</si>
  <si>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</si>
  <si>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</si>
  <si>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</si>
  <si>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</si>
  <si>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</si>
  <si>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</si>
  <si>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</si>
  <si>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</si>
  <si>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</si>
  <si>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</si>
  <si>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</si>
  <si>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</si>
  <si>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</si>
  <si>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</si>
  <si>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</si>
  <si>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</si>
  <si>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</si>
  <si>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</si>
  <si>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</si>
  <si>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</si>
  <si>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</si>
  <si>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</si>
  <si>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</si>
  <si>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</si>
  <si>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</si>
  <si>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</si>
  <si>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</si>
  <si>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</si>
  <si>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</si>
  <si>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</si>
  <si>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</si>
  <si>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</si>
  <si>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</si>
  <si>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</si>
  <si>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</si>
  <si>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</si>
  <si>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</si>
  <si>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</si>
  <si>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</si>
  <si>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</si>
  <si>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</si>
  <si>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</si>
  <si>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</si>
  <si>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</si>
  <si>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</si>
  <si>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</si>
  <si>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</si>
  <si>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</si>
  <si>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</si>
  <si>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</si>
  <si>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</si>
  <si>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</si>
  <si>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</si>
  <si>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</si>
  <si>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</si>
  <si>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</si>
  <si>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</si>
  <si>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</si>
  <si>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</si>
  <si>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</si>
  <si>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</si>
  <si>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</si>
  <si>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</si>
  <si>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</si>
  <si>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</si>
  <si>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</si>
  <si>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</si>
  <si>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</si>
  <si>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</si>
  <si>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</si>
  <si>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</si>
  <si>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</si>
  <si>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</si>
  <si>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</si>
  <si>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</si>
  <si>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</si>
  <si>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</si>
  <si>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</si>
  <si>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</si>
  <si>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</si>
  <si>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</si>
  <si>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</si>
  <si>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</si>
  <si>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</si>
  <si>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</si>
  <si>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</si>
  <si>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</si>
  <si>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</si>
  <si>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</si>
  <si>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</si>
  <si>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</si>
  <si>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</si>
  <si>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</si>
  <si>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</si>
  <si>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</si>
  <si>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</si>
  <si>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</si>
  <si>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</si>
  <si>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</si>
  <si>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</si>
  <si>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</si>
  <si>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</si>
  <si>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</si>
  <si>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</si>
  <si>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</si>
  <si>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</si>
  <si>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</si>
  <si>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</si>
  <si>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</si>
  <si>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</si>
  <si>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</si>
  <si>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</si>
  <si>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</si>
  <si>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</si>
  <si>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</si>
  <si>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</si>
  <si>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</si>
  <si>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</si>
  <si>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</si>
  <si>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</si>
  <si>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</si>
  <si>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</si>
  <si>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</si>
  <si>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</si>
  <si>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</si>
  <si>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</si>
  <si>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</si>
  <si>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</si>
  <si>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</si>
  <si>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</si>
  <si>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</si>
  <si>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</si>
  <si>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</si>
  <si>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</si>
  <si>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</si>
  <si>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</si>
  <si>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</si>
  <si>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</si>
  <si>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</si>
  <si>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</si>
  <si>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</si>
  <si>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</si>
  <si>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</si>
  <si>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</si>
  <si>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</si>
  <si>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</si>
  <si>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</si>
  <si>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</si>
  <si>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</si>
  <si>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</si>
  <si>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</si>
  <si>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</si>
  <si>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</si>
  <si>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</si>
  <si>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</si>
  <si>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</si>
  <si>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</si>
  <si>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</si>
  <si>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</si>
  <si>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</si>
  <si>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</si>
  <si>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</si>
  <si>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</si>
  <si>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</si>
  <si>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</si>
  <si>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</si>
  <si>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</si>
  <si>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</si>
  <si>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</si>
  <si>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</si>
  <si>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</si>
  <si>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</si>
  <si>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</si>
  <si>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</si>
  <si>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</si>
  <si>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</si>
  <si>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</si>
  <si>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</si>
  <si>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</si>
  <si>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</si>
  <si>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</si>
  <si>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</si>
  <si>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</si>
  <si>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</si>
  <si>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</si>
  <si>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</si>
  <si>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</si>
  <si>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</si>
  <si>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</si>
  <si>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</si>
  <si>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</si>
  <si>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</si>
  <si>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</si>
  <si>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</si>
  <si>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</si>
  <si>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</si>
  <si>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</si>
  <si>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</si>
  <si>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</si>
  <si>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</si>
  <si>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</si>
  <si>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</si>
  <si>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</si>
  <si>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</si>
  <si>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</si>
  <si>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</si>
  <si>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</si>
  <si>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</si>
  <si>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</si>
  <si>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</si>
  <si>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</si>
  <si>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</si>
  <si>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</si>
  <si>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</si>
  <si>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</si>
  <si>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</si>
  <si>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</si>
  <si>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</si>
  <si>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</si>
  <si>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</si>
  <si>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</si>
  <si>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</si>
  <si>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</si>
  <si>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</si>
  <si>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</si>
  <si>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</si>
  <si>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</si>
  <si>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</si>
  <si>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</si>
  <si>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</si>
  <si>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</si>
  <si>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</si>
  <si>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</si>
  <si>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</si>
  <si>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</si>
  <si>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</si>
  <si>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</si>
  <si>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</si>
  <si>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</si>
  <si>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</si>
  <si>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</si>
  <si>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</si>
  <si>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</si>
  <si>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</si>
  <si>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</si>
  <si>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</si>
  <si>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</si>
  <si>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</si>
  <si>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</si>
  <si>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</si>
  <si>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</si>
  <si>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</si>
  <si>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</si>
  <si>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</si>
  <si>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</si>
  <si>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</si>
  <si>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</si>
  <si>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</si>
  <si>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</si>
  <si>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</si>
  <si>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</si>
  <si>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</si>
  <si>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</si>
  <si>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</si>
  <si>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</si>
  <si>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</si>
  <si>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</si>
  <si>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</si>
  <si>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</si>
  <si>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</si>
  <si>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</si>
  <si>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</si>
  <si>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</si>
  <si>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</si>
  <si>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</si>
  <si>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</si>
  <si>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</si>
  <si>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</si>
  <si>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</si>
  <si>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</si>
  <si>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</si>
  <si>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</si>
  <si>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</si>
  <si>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</si>
  <si>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</si>
  <si>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</si>
  <si>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</si>
  <si>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</si>
  <si>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</si>
  <si>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</si>
  <si>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</si>
  <si>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</si>
  <si>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</si>
  <si>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</si>
  <si>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</si>
  <si>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</si>
  <si>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</si>
  <si>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</si>
  <si>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</si>
  <si>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</si>
  <si>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</si>
  <si>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</si>
  <si>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</si>
  <si>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</si>
  <si>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</si>
  <si>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</si>
  <si>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</si>
  <si>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</si>
  <si>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</si>
  <si>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</si>
  <si>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</si>
  <si>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</si>
  <si>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</si>
  <si>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</si>
  <si>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</si>
  <si>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</si>
  <si>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</si>
  <si>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</si>
  <si>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</si>
  <si>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</si>
  <si>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</si>
  <si>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</si>
  <si>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</si>
  <si>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</si>
  <si>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</si>
  <si>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</si>
  <si>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</si>
  <si>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</si>
  <si>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</si>
  <si>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</si>
  <si>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</si>
  <si>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</si>
  <si>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</si>
  <si>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</si>
  <si>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</si>
  <si>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</si>
  <si>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</si>
  <si>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</si>
  <si>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</si>
  <si>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</si>
  <si>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</si>
  <si>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</si>
  <si>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</si>
  <si>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</si>
  <si>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</si>
  <si>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</si>
  <si>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</si>
  <si>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</si>
  <si>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</si>
  <si>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</si>
  <si>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</si>
  <si>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</si>
  <si>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</si>
  <si>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</si>
  <si>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</si>
  <si>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</si>
  <si>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</si>
  <si>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</si>
  <si>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</si>
  <si>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</si>
  <si>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</si>
  <si>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</si>
  <si>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</si>
  <si>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</si>
  <si>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</si>
  <si>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</si>
  <si>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</si>
  <si>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</si>
  <si>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</si>
  <si>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</si>
  <si>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</si>
  <si>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</si>
  <si>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</si>
  <si>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</si>
  <si>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</si>
  <si>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</si>
  <si>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</si>
  <si>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</si>
  <si>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</si>
  <si>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</si>
  <si>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</si>
  <si>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</si>
  <si>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</si>
  <si>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</si>
  <si>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</si>
  <si>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</si>
  <si>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</si>
  <si>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</si>
  <si>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</si>
  <si>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</si>
  <si>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</si>
  <si>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</si>
  <si>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</si>
  <si>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</si>
  <si>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</si>
  <si>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</si>
  <si>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</si>
  <si>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</si>
  <si>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</si>
  <si>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</si>
  <si>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</si>
  <si>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</si>
  <si>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</si>
  <si>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</si>
  <si>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</si>
  <si>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</si>
  <si>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</si>
  <si>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</si>
  <si>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</si>
  <si>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</si>
  <si>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</si>
  <si>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</si>
  <si>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</si>
  <si>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</si>
  <si>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</si>
  <si>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</si>
  <si>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</si>
  <si>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</si>
  <si>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</si>
  <si>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</si>
  <si>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</si>
  <si>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</si>
  <si>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</si>
  <si>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</si>
  <si>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</si>
  <si>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</si>
  <si>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</si>
  <si>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</si>
  <si>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</si>
  <si>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</si>
  <si>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</si>
  <si>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</si>
  <si>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</si>
  <si>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</si>
  <si>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</si>
  <si>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</si>
  <si>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</si>
  <si>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</si>
  <si>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</si>
  <si>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</si>
  <si>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</si>
  <si>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</si>
  <si>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</si>
  <si>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</si>
  <si>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</si>
  <si>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</si>
  <si>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</si>
  <si>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</si>
  <si>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</si>
  <si>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</si>
  <si>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</si>
  <si>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</si>
  <si>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</si>
  <si>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</si>
  <si>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</si>
  <si>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</si>
  <si>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</si>
  <si>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</si>
  <si>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</si>
  <si>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</si>
  <si>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</si>
  <si>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</si>
  <si>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</si>
  <si>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</si>
  <si>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</si>
  <si>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</si>
  <si>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</si>
  <si>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</si>
  <si>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</si>
  <si>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</si>
  <si>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</si>
  <si>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</si>
  <si>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</si>
  <si>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</si>
  <si>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</si>
  <si>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</si>
  <si>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</si>
  <si>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</si>
  <si>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</si>
  <si>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</si>
  <si>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</si>
  <si>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</si>
  <si>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</si>
  <si>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</si>
  <si>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</si>
  <si>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</si>
  <si>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</si>
  <si>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</si>
  <si>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</si>
  <si>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</si>
  <si>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</si>
  <si>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</si>
  <si>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</si>
  <si>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</si>
  <si>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</si>
  <si>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</si>
  <si>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</si>
  <si>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</si>
  <si>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</si>
  <si>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</si>
  <si>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</si>
  <si>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</si>
  <si>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</si>
  <si>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</si>
  <si>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</si>
  <si>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</si>
  <si>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</si>
  <si>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</si>
  <si>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</si>
  <si>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</si>
  <si>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</si>
  <si>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</si>
  <si>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</si>
  <si>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</si>
  <si>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</si>
  <si>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</si>
  <si>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</si>
  <si>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</si>
  <si>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</si>
  <si>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</si>
  <si>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</si>
  <si>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</si>
  <si>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</si>
  <si>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</si>
  <si>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</si>
  <si>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</si>
  <si>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</si>
  <si>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</si>
  <si>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</si>
  <si>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</si>
  <si>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</si>
  <si>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</si>
  <si>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</si>
  <si>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</si>
  <si>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</si>
  <si>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</si>
  <si>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</si>
  <si>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</si>
  <si>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</si>
  <si>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</si>
  <si>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</si>
  <si>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</si>
  <si>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</si>
  <si>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</si>
  <si>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</si>
  <si>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</si>
  <si>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</si>
  <si>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</si>
  <si>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</si>
  <si>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</si>
  <si>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</si>
  <si>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</si>
  <si>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</si>
  <si>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</si>
  <si>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</si>
  <si>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</si>
  <si>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</si>
  <si>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</si>
  <si>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</si>
  <si>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</si>
  <si>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</si>
  <si>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</si>
  <si>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</si>
  <si>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</si>
  <si>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</si>
  <si>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</si>
  <si>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</si>
  <si>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</si>
  <si>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</si>
  <si>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</si>
  <si>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</si>
  <si>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</si>
  <si>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</si>
  <si>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</si>
  <si>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</si>
  <si>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</si>
  <si>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</si>
  <si>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</si>
  <si>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</si>
  <si>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</si>
  <si>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</si>
  <si>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</si>
  <si>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</si>
  <si>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</si>
  <si>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</si>
  <si>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</si>
  <si>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</si>
  <si>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</si>
  <si>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</si>
  <si>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</si>
  <si>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</si>
  <si>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</si>
  <si>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</si>
  <si>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</si>
  <si>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</si>
  <si>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</si>
  <si>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</si>
  <si>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</si>
  <si>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</si>
  <si>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</si>
  <si>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</si>
  <si>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</si>
  <si>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</si>
  <si>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</si>
  <si>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</si>
  <si>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</si>
  <si>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</si>
  <si>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</si>
  <si>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</si>
  <si>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</si>
  <si>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</si>
  <si>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</si>
  <si>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</si>
  <si>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</si>
  <si>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</si>
  <si>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</si>
  <si>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</si>
  <si>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</si>
  <si>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</si>
  <si>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</si>
  <si>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</si>
  <si>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</si>
  <si>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</si>
  <si>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</si>
  <si>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</si>
  <si>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</si>
  <si>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</si>
  <si>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</si>
  <si>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</si>
  <si>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</si>
  <si>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</si>
  <si>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</si>
  <si>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</si>
  <si>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</si>
  <si>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</si>
  <si>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</si>
  <si>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</si>
  <si>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</si>
  <si>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</si>
  <si>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</si>
  <si>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</si>
  <si>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</si>
  <si>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</si>
  <si>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</si>
  <si>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</si>
  <si>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</si>
  <si>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</si>
  <si>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</si>
  <si>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</si>
  <si>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</si>
  <si>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</si>
  <si>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</si>
  <si>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</si>
  <si>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</si>
  <si>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</si>
  <si>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</si>
  <si>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</si>
  <si>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</si>
  <si>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</si>
  <si>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</si>
  <si>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</si>
  <si>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</si>
  <si>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</si>
  <si>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</si>
  <si>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</si>
  <si>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</si>
  <si>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</si>
  <si>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</si>
  <si>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</si>
  <si>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</si>
  <si>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</si>
  <si>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</si>
  <si>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</si>
  <si>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</si>
  <si>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</si>
  <si>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</si>
  <si>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</si>
  <si>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</si>
  <si>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</si>
  <si>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</si>
  <si>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</si>
  <si>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</si>
  <si>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</si>
  <si>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</si>
  <si>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</si>
  <si>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</si>
  <si>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</si>
  <si>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</si>
  <si>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</si>
  <si>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</si>
  <si>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</si>
  <si>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</si>
  <si>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</si>
  <si>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</si>
  <si>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</si>
  <si>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</si>
  <si>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</si>
  <si>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</si>
  <si>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</si>
  <si>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</si>
  <si>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</si>
  <si>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</si>
  <si>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</si>
  <si>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</si>
  <si>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</si>
  <si>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</si>
  <si>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</si>
  <si>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</si>
  <si>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</si>
  <si>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</si>
  <si>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</si>
  <si>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</si>
  <si>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</si>
  <si>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</si>
  <si>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</si>
  <si>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</si>
  <si>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</si>
  <si>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</si>
  <si>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</si>
  <si>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</si>
  <si>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</si>
  <si>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</si>
  <si>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</si>
  <si>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</si>
  <si>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</si>
  <si>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</si>
  <si>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</si>
  <si>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</si>
  <si>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</si>
  <si>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</si>
  <si>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</si>
  <si>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</si>
  <si>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</si>
  <si>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</si>
  <si>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</si>
  <si>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</si>
  <si>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</si>
  <si>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</si>
  <si>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</si>
  <si>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</si>
  <si>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</si>
  <si>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</si>
  <si>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</si>
  <si>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</si>
  <si>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</si>
  <si>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</si>
  <si>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</si>
  <si>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</si>
  <si>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</si>
  <si>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</si>
  <si>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</si>
  <si>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</si>
  <si>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</si>
  <si>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</si>
  <si>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</si>
  <si>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</si>
  <si>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</si>
  <si>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</si>
  <si>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</si>
  <si>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</si>
  <si>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</si>
  <si>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</si>
  <si>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</si>
  <si>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</si>
  <si>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</si>
  <si>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</si>
  <si>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</si>
  <si>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</si>
  <si>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</si>
  <si>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</si>
  <si>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</si>
  <si>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</si>
  <si>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</si>
  <si>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</si>
  <si>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</si>
  <si>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</si>
  <si>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</si>
  <si>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</si>
  <si>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</si>
  <si>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</si>
  <si>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</si>
  <si>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</si>
  <si>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</si>
  <si>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</si>
  <si>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</si>
  <si>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</si>
  <si>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</si>
  <si>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</si>
  <si>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</si>
  <si>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</si>
  <si>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</si>
  <si>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</si>
  <si>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</si>
  <si>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</si>
  <si>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</si>
  <si>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</si>
  <si>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</si>
  <si>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</si>
  <si>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</si>
  <si>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</si>
  <si>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</si>
  <si>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</si>
  <si>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</si>
  <si>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</si>
  <si>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</si>
  <si>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</si>
  <si>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</si>
  <si>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</si>
  <si>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</si>
  <si>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</si>
  <si>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</si>
  <si>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</si>
  <si>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</si>
  <si>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</si>
  <si>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</si>
  <si>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</si>
  <si>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</si>
  <si>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</si>
  <si>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</si>
  <si>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</si>
  <si>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</si>
  <si>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</si>
  <si>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</si>
  <si>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</si>
  <si>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</si>
  <si>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</si>
  <si>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</si>
  <si>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</si>
  <si>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</si>
  <si>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</si>
  <si>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</si>
  <si>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</si>
  <si>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</si>
  <si>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</si>
  <si>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</si>
  <si>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</si>
  <si>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</si>
  <si>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</si>
  <si>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</si>
  <si>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</si>
  <si>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</si>
  <si>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</si>
  <si>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</si>
  <si>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</si>
  <si>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</si>
  <si>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</si>
  <si>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</si>
  <si>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</si>
  <si>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</si>
  <si>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</si>
  <si>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</si>
  <si>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</si>
  <si>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</si>
  <si>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</si>
  <si>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</si>
  <si>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</si>
  <si>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</si>
  <si>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</si>
  <si>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</si>
  <si>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</si>
  <si>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</si>
  <si>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</si>
  <si>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</si>
  <si>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</si>
  <si>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</si>
  <si>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</si>
  <si>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</si>
  <si>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</si>
  <si>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</si>
  <si>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</si>
  <si>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</si>
  <si>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</si>
  <si>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</si>
  <si>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</si>
  <si>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</si>
  <si>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</si>
  <si>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</si>
  <si>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</si>
  <si>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</si>
  <si>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</si>
  <si>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</si>
  <si>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</si>
  <si>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</si>
  <si>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</si>
  <si>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</si>
  <si>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</si>
  <si>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</si>
  <si>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</si>
  <si>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</si>
  <si>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</si>
  <si>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</si>
  <si>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</si>
  <si>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</si>
  <si>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</si>
  <si>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</si>
  <si>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</si>
  <si>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</si>
  <si>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</si>
  <si>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</si>
  <si>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</si>
  <si>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</si>
  <si>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</si>
  <si>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</si>
  <si>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</si>
  <si>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</si>
  <si>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</si>
  <si>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</si>
  <si>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</si>
  <si>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</si>
  <si>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</si>
  <si>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</si>
  <si>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</si>
  <si>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</si>
  <si>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</si>
  <si>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</si>
  <si>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</si>
  <si>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</si>
  <si>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</si>
  <si>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</si>
  <si>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</si>
  <si>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</si>
  <si>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</si>
  <si>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</si>
  <si>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</si>
  <si>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</si>
  <si>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</si>
  <si>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</si>
  <si>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</si>
  <si>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</si>
  <si>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</si>
  <si>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</si>
  <si>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</si>
  <si>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</si>
  <si>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</si>
  <si>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</si>
  <si>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</si>
  <si>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</si>
  <si>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</si>
  <si>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</si>
  <si>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</si>
  <si>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</si>
  <si>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</si>
  <si>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</si>
  <si>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</si>
  <si>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</si>
  <si>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</si>
  <si>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</si>
  <si>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</si>
  <si>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</si>
  <si>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</si>
  <si>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</si>
  <si>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</si>
  <si>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</si>
  <si>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</si>
  <si>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</si>
  <si>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</si>
  <si>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</si>
  <si>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</si>
  <si>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</si>
  <si>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</si>
  <si>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</si>
  <si>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</si>
  <si>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</si>
  <si>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</si>
  <si>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</si>
  <si>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</si>
  <si>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</si>
  <si>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</si>
  <si>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</si>
  <si>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</si>
  <si>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</si>
  <si>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</si>
  <si>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</si>
  <si>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</si>
  <si>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</si>
  <si>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</si>
  <si>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</si>
  <si>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</si>
  <si>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</si>
  <si>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</si>
  <si>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</si>
  <si>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</si>
  <si>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</si>
  <si>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</si>
  <si>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</si>
  <si>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</si>
  <si>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</si>
  <si>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</si>
  <si>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</si>
  <si>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</si>
  <si>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</si>
  <si>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</si>
  <si>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</si>
  <si>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</si>
  <si>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</si>
  <si>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</si>
  <si>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</si>
  <si>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</si>
  <si>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</si>
  <si>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</si>
  <si>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</si>
  <si>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</si>
  <si>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</si>
  <si>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</si>
  <si>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</si>
  <si>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</si>
  <si>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</si>
  <si>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</si>
  <si>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</si>
  <si>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</si>
  <si>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</si>
  <si>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</si>
  <si>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</si>
  <si>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</si>
  <si>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</si>
  <si>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</si>
  <si>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</si>
  <si>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</si>
  <si>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</si>
  <si>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</si>
  <si>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</si>
  <si>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</si>
  <si>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</si>
  <si>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</si>
  <si>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</si>
  <si>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</si>
  <si>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</si>
  <si>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</si>
  <si>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</si>
  <si>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</si>
  <si>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</si>
  <si>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</si>
  <si>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</si>
  <si>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</si>
  <si>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</si>
  <si>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</si>
  <si>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</si>
  <si>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</si>
  <si>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</si>
  <si>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</si>
  <si>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</si>
  <si>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</si>
  <si>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</si>
  <si>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</si>
  <si>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</si>
  <si>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</si>
  <si>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</si>
  <si>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</si>
  <si>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</si>
  <si>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</si>
  <si>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</si>
  <si>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</si>
  <si>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</si>
  <si>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</si>
  <si>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</si>
  <si>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</si>
  <si>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</si>
  <si>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</si>
  <si>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</si>
  <si>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</si>
  <si>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</si>
  <si>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</si>
  <si>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</si>
  <si>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</si>
  <si>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</si>
  <si>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</si>
  <si>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</si>
  <si>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</si>
  <si>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</si>
  <si>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</si>
  <si>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</si>
  <si>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</si>
  <si>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</si>
  <si>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</si>
  <si>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</si>
  <si>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</si>
  <si>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</si>
  <si>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</si>
  <si>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</si>
  <si>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</si>
  <si>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</si>
  <si>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</si>
  <si>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</si>
  <si>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</si>
  <si>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</si>
  <si>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</si>
  <si>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</si>
  <si>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</si>
  <si>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</si>
  <si>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</si>
  <si>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</si>
  <si>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</si>
  <si>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</si>
  <si>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</si>
  <si>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</si>
  <si>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</si>
  <si>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</si>
  <si>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</si>
  <si>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</si>
  <si>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</si>
  <si>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</si>
  <si>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</si>
  <si>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</si>
  <si>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</si>
  <si>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</si>
  <si>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</si>
  <si>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</si>
  <si>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</si>
  <si>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</si>
  <si>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</si>
  <si>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</si>
  <si>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</si>
  <si>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</si>
  <si>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</si>
  <si>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</si>
  <si>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</si>
  <si>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</si>
  <si>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</si>
  <si>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</si>
  <si>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</si>
  <si>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</si>
  <si>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</si>
  <si>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</si>
  <si>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</si>
  <si>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</si>
  <si>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</si>
  <si>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</si>
  <si>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</si>
  <si>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</si>
  <si>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</si>
  <si>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</si>
  <si>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</si>
  <si>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</si>
  <si>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</si>
  <si>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</si>
  <si>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</si>
  <si>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</si>
  <si>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</si>
  <si>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</si>
  <si>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</si>
  <si>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</si>
  <si>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</si>
  <si>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</si>
  <si>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</si>
  <si>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</si>
  <si>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</si>
  <si>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</si>
  <si>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</si>
  <si>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</si>
  <si>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</si>
  <si>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</si>
  <si>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</si>
  <si>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</si>
  <si>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</si>
  <si>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</si>
  <si>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</si>
  <si>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</si>
  <si>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</si>
  <si>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</si>
  <si>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</si>
  <si>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</si>
  <si>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</si>
  <si>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</si>
  <si>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</si>
  <si>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</si>
  <si>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</si>
  <si>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</si>
  <si>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</si>
  <si>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</si>
  <si>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</si>
  <si>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</si>
  <si>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</si>
  <si>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</si>
  <si>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</si>
  <si>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</si>
  <si>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</si>
  <si>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</si>
  <si>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</si>
  <si>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</si>
  <si>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</si>
  <si>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</si>
  <si>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</si>
  <si>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</si>
  <si>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</si>
  <si>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</si>
  <si>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</si>
  <si>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</si>
  <si>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</si>
  <si>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</si>
  <si>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</si>
  <si>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</si>
  <si>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</si>
  <si>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</si>
  <si>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</si>
  <si>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</si>
  <si>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</si>
  <si>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</si>
  <si>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</si>
  <si>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</si>
  <si>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</si>
  <si>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</si>
  <si>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</si>
  <si>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</si>
  <si>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</si>
  <si>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</si>
  <si>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</si>
  <si>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</si>
  <si>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</si>
  <si>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</si>
  <si>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</si>
  <si>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</si>
  <si>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</si>
  <si>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</si>
  <si>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</si>
  <si>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</si>
  <si>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</si>
  <si>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</si>
  <si>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</si>
  <si>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</si>
  <si>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</si>
  <si>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</si>
  <si>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</si>
  <si>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</si>
  <si>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</si>
  <si>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</si>
  <si>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</si>
  <si>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</si>
  <si>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</si>
  <si>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</si>
  <si>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</si>
  <si>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</si>
  <si>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</si>
  <si>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</si>
  <si>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</si>
  <si>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</si>
  <si>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</si>
  <si>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</si>
  <si>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</si>
  <si>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</si>
  <si>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</si>
  <si>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</si>
  <si>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</si>
  <si>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</si>
  <si>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</si>
  <si>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</si>
  <si>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</si>
  <si>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</si>
  <si>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</si>
  <si>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</si>
  <si>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</si>
  <si>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</si>
  <si>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</si>
  <si>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</si>
  <si>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</si>
  <si>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</si>
  <si>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</si>
  <si>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</si>
  <si>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</si>
  <si>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</si>
  <si>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</si>
  <si>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</si>
  <si>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</si>
  <si>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</si>
  <si>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</si>
  <si>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</si>
  <si>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</si>
  <si>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</si>
  <si>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</si>
  <si>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</si>
  <si>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</si>
  <si>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</si>
  <si>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</si>
  <si>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</si>
  <si>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</si>
  <si>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</si>
  <si>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</si>
  <si>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</si>
  <si>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</si>
  <si>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</si>
  <si>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</si>
  <si>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</si>
  <si>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</si>
  <si>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</si>
  <si>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</si>
  <si>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</si>
  <si>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</si>
  <si>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</si>
  <si>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</si>
  <si>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</si>
  <si>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</si>
  <si>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</si>
  <si>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</si>
  <si>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</si>
  <si>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</si>
  <si>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</si>
  <si>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</si>
  <si>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</si>
  <si>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</si>
  <si>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</si>
  <si>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</si>
  <si>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</si>
  <si>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</si>
  <si>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</si>
  <si>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</si>
  <si>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</si>
  <si>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</si>
  <si>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</si>
  <si>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</si>
  <si>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</si>
  <si>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</si>
  <si>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</si>
  <si>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</si>
  <si>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</si>
  <si>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</si>
  <si>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</si>
  <si>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</si>
  <si>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</si>
  <si>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</si>
  <si>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</si>
  <si>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</si>
  <si>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</si>
  <si>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</si>
  <si>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</si>
  <si>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</si>
  <si>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</si>
  <si>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</si>
  <si>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</si>
  <si>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</si>
  <si>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</si>
  <si>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</si>
  <si>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</si>
  <si>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</si>
  <si>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</si>
  <si>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</si>
  <si>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</si>
  <si>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</si>
  <si>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</si>
  <si>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</si>
  <si>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</si>
  <si>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</si>
  <si>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</si>
  <si>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</si>
  <si>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</si>
  <si>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</si>
  <si>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</si>
  <si>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</si>
  <si>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</si>
  <si>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</si>
  <si>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</si>
  <si>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</si>
  <si>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</si>
  <si>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</si>
  <si>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</si>
  <si>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</si>
  <si>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</si>
  <si>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</si>
  <si>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</si>
  <si>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</si>
  <si>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</si>
  <si>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</si>
  <si>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</si>
  <si>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</si>
  <si>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</si>
  <si>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</si>
  <si>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</si>
  <si>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</si>
  <si>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</si>
  <si>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</si>
  <si>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</si>
  <si>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</si>
  <si>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</si>
  <si>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</si>
  <si>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</si>
  <si>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</si>
  <si>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</si>
  <si>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</si>
  <si>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</si>
  <si>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</si>
  <si>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</si>
  <si>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</si>
  <si>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</si>
  <si>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</si>
  <si>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</si>
  <si>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</si>
  <si>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</si>
  <si>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</si>
  <si>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</si>
  <si>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</si>
  <si>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</si>
  <si>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</si>
  <si>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</si>
  <si>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</si>
  <si>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</si>
  <si>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</si>
  <si>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</si>
  <si>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</si>
  <si>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</si>
  <si>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</si>
  <si>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</si>
  <si>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</si>
  <si>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</si>
  <si>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</si>
  <si>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</si>
  <si>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</si>
  <si>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</si>
  <si>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</si>
  <si>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</si>
  <si>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</si>
  <si>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</si>
  <si>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</si>
  <si>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</si>
  <si>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</si>
  <si>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</si>
  <si>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</si>
  <si>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</si>
  <si>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</si>
  <si>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</si>
  <si>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</si>
  <si>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</si>
  <si>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</si>
  <si>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</si>
  <si>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</si>
  <si>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</si>
  <si>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</si>
  <si>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</si>
  <si>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</si>
  <si>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</si>
  <si>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</si>
  <si>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</si>
  <si>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</si>
  <si>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</si>
  <si>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</si>
  <si>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</si>
  <si>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</si>
  <si>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</si>
  <si>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</si>
  <si>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</si>
  <si>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</si>
  <si>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</si>
  <si>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</si>
  <si>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</si>
  <si>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</si>
  <si>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</si>
  <si>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</si>
  <si>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</si>
  <si>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</si>
  <si>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</si>
  <si>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</si>
  <si>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</si>
  <si>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</si>
  <si>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</si>
  <si>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</si>
  <si>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</si>
  <si>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</si>
  <si>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</si>
  <si>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</si>
  <si>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</si>
  <si>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</si>
  <si>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</si>
  <si>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</si>
  <si>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</si>
  <si>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</si>
  <si>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</si>
  <si>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</si>
  <si>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</si>
  <si>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</si>
  <si>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</si>
  <si>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</si>
  <si>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</si>
  <si>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</si>
  <si>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</si>
  <si>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</si>
  <si>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</si>
  <si>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</si>
  <si>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</si>
  <si>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</si>
  <si>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</si>
  <si>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</si>
  <si>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</si>
  <si>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</si>
  <si>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</si>
  <si>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</si>
  <si>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</si>
  <si>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</si>
  <si>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</si>
  <si>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</si>
  <si>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</si>
  <si>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</si>
  <si>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</si>
  <si>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</si>
  <si>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</si>
  <si>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</si>
  <si>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</si>
  <si>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</si>
  <si>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</si>
  <si>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</si>
  <si>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</si>
  <si>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</si>
  <si>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</si>
  <si>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</si>
  <si>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</si>
  <si>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</si>
  <si>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</si>
  <si>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</si>
  <si>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</si>
  <si>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</si>
  <si>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</si>
  <si>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</si>
  <si>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</si>
  <si>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</si>
  <si>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</si>
  <si>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</si>
  <si>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</si>
  <si>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</si>
  <si>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</si>
  <si>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</si>
  <si>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</si>
  <si>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</si>
  <si>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</si>
  <si>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</si>
  <si>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</si>
  <si>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</si>
  <si>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</si>
  <si>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</si>
  <si>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</si>
  <si>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</si>
  <si>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</si>
  <si>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</si>
  <si>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</si>
  <si>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</si>
  <si>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</si>
  <si>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</si>
  <si>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</si>
  <si>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</si>
  <si>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</si>
  <si>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</si>
  <si>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</si>
  <si>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</si>
  <si>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</si>
  <si>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</si>
  <si>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</si>
  <si>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</si>
  <si>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</si>
  <si>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</si>
  <si>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</si>
  <si>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</si>
  <si>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</si>
  <si>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</si>
  <si>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</si>
  <si>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</si>
  <si>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</si>
  <si>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</si>
  <si>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</si>
  <si>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</si>
  <si>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</si>
  <si>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</si>
  <si>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</si>
  <si>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</si>
  <si>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</si>
  <si>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</si>
  <si>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</si>
  <si>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</si>
  <si>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</si>
  <si>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</si>
  <si>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</si>
  <si>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</si>
  <si>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</si>
  <si>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</si>
  <si>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</si>
  <si>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</si>
  <si>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</si>
  <si>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</si>
  <si>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</si>
  <si>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</si>
  <si>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</si>
  <si>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</si>
  <si>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</si>
  <si>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</si>
  <si>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</si>
  <si>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</si>
  <si>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</si>
  <si>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</si>
  <si>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</si>
  <si>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</si>
  <si>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</si>
  <si>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</si>
  <si>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</si>
  <si>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</si>
  <si>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</si>
  <si>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</si>
  <si>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</si>
  <si>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</si>
  <si>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</si>
  <si>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</si>
  <si>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</si>
  <si>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</si>
  <si>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</si>
  <si>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</si>
  <si>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</si>
  <si>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</si>
  <si>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</si>
  <si>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</si>
  <si>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</si>
  <si>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</si>
  <si>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</si>
  <si>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</si>
  <si>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</si>
  <si>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</si>
  <si>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</si>
  <si>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</si>
  <si>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</si>
  <si>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</si>
  <si>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</si>
  <si>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</si>
  <si>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</si>
  <si>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</si>
  <si>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</si>
  <si>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</si>
  <si>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</si>
  <si>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</si>
  <si>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</si>
  <si>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</si>
  <si>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</si>
  <si>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</si>
  <si>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</si>
  <si>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</si>
  <si>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</si>
  <si>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</si>
  <si>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</si>
  <si>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</si>
  <si>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</si>
  <si>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</si>
  <si>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</si>
  <si>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</si>
  <si>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</si>
  <si>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</si>
  <si>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</si>
  <si>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</si>
  <si>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</si>
  <si>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</si>
  <si>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</si>
  <si>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</si>
  <si>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</si>
  <si>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</si>
  <si>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</si>
  <si>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</si>
  <si>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</si>
  <si>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</si>
  <si>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</si>
  <si>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</si>
  <si>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</si>
  <si>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</si>
  <si>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</si>
  <si>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</si>
  <si>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</si>
  <si>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</si>
  <si>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</si>
  <si>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</si>
  <si>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</si>
  <si>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</si>
  <si>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</si>
  <si>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</si>
  <si>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</si>
  <si>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</si>
  <si>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</si>
  <si>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</si>
  <si>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</si>
  <si>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</si>
  <si>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</si>
  <si>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</si>
  <si>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</si>
  <si>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</si>
  <si>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</si>
  <si>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</si>
  <si>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</si>
  <si>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</si>
  <si>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</si>
  <si>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</si>
  <si>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</si>
  <si>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</si>
  <si>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</si>
  <si>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</si>
  <si>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</si>
  <si>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</si>
  <si>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</si>
  <si>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</si>
  <si>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</si>
  <si>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</si>
  <si>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</si>
  <si>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</si>
  <si>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</si>
  <si>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</si>
  <si>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</si>
  <si>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</si>
  <si>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</si>
  <si>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</si>
  <si>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</si>
  <si>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</si>
  <si>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</si>
  <si>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</si>
  <si>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</si>
  <si>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</si>
  <si>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</si>
  <si>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</si>
  <si>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</si>
  <si>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</si>
  <si>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</si>
  <si>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</si>
  <si>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</si>
  <si>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</si>
  <si>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</si>
  <si>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</si>
  <si>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</si>
  <si>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</si>
  <si>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</si>
  <si>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</si>
  <si>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</si>
  <si>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</si>
  <si>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</si>
  <si>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</si>
  <si>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</si>
  <si>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</si>
  <si>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</si>
  <si>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</si>
  <si>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</si>
  <si>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</si>
  <si>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</si>
  <si>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</si>
  <si>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</si>
  <si>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</si>
  <si>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</si>
  <si>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</si>
  <si>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</si>
  <si>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</si>
  <si>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</si>
  <si>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</si>
  <si>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</si>
  <si>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</si>
  <si>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</si>
  <si>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</si>
  <si>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</si>
  <si>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</si>
  <si>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</si>
  <si>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</si>
  <si>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</si>
  <si>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</si>
  <si>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</si>
  <si>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</si>
  <si>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</si>
  <si>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</si>
  <si>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</si>
  <si>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</si>
  <si>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</si>
  <si>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</si>
  <si>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</si>
  <si>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</si>
  <si>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</si>
  <si>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</si>
  <si>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</si>
  <si>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</si>
  <si>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</si>
  <si>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</si>
  <si>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</si>
  <si>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</si>
  <si>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</si>
  <si>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</si>
  <si>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</si>
  <si>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</si>
  <si>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</si>
  <si>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</si>
  <si>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</si>
  <si>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</si>
  <si>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</si>
  <si>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</si>
  <si>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</si>
  <si>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</si>
  <si>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</si>
  <si>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</si>
  <si>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</si>
  <si>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</si>
  <si>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</si>
  <si>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</si>
  <si>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</si>
  <si>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</si>
  <si>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</si>
  <si>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</si>
  <si>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</si>
  <si>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</si>
  <si>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</si>
  <si>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</si>
  <si>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</si>
  <si>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</si>
  <si>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</si>
  <si>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</si>
  <si>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</si>
  <si>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</si>
  <si>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</si>
  <si>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</si>
  <si>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</si>
  <si>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</si>
  <si>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</si>
  <si>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</si>
  <si>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</si>
  <si>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</si>
  <si>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</si>
  <si>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</si>
  <si>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</si>
  <si>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</si>
  <si>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</si>
  <si>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</si>
  <si>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</si>
  <si>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</si>
  <si>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</si>
  <si>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</si>
  <si>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</si>
  <si>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</si>
  <si>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</si>
  <si>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</si>
  <si>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</si>
  <si>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</si>
  <si>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</si>
  <si>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</si>
  <si>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</si>
  <si>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</si>
  <si>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</si>
  <si>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</si>
  <si>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</si>
  <si>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</si>
  <si>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</si>
  <si>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</si>
  <si>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</si>
  <si>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</si>
  <si>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</si>
  <si>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</si>
  <si>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</si>
  <si>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</si>
  <si>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</si>
  <si>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</si>
  <si>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</si>
  <si>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</si>
  <si>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</si>
  <si>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</si>
  <si>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</si>
  <si>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</si>
  <si>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</si>
  <si>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</si>
  <si>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</si>
  <si>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</si>
  <si>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</si>
  <si>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</si>
  <si>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</si>
  <si>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</si>
  <si>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</si>
  <si>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</si>
  <si>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</si>
  <si>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</si>
  <si>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</si>
  <si>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</si>
  <si>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</si>
  <si>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</si>
  <si>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</si>
  <si>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</si>
  <si>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</si>
  <si>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</si>
  <si>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</si>
  <si>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</si>
  <si>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</si>
  <si>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</si>
  <si>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</si>
  <si>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</si>
  <si>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</si>
  <si>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</si>
  <si>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</si>
  <si>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</si>
  <si>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</si>
  <si>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</si>
  <si>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</si>
  <si>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</si>
  <si>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</si>
  <si>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</si>
  <si>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</si>
  <si>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</si>
  <si>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</si>
  <si>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</si>
  <si>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</si>
  <si>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</si>
  <si>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</si>
  <si>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</si>
  <si>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</si>
  <si>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</si>
  <si>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</si>
  <si>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</si>
  <si>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</si>
  <si>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</si>
  <si>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</si>
  <si>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</si>
  <si>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</si>
  <si>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</si>
  <si>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</si>
  <si>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</si>
  <si>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</si>
  <si>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</si>
  <si>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</si>
  <si>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</si>
  <si>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</si>
  <si>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</si>
  <si>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</si>
  <si>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</si>
  <si>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</si>
  <si>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</si>
  <si>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</si>
  <si>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</si>
  <si>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</si>
  <si>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</si>
  <si>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</si>
  <si>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</si>
  <si>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</si>
  <si>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</si>
  <si>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</si>
  <si>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</si>
  <si>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</si>
  <si>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</si>
  <si>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</si>
  <si>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</si>
  <si>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</si>
  <si>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</si>
  <si>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</si>
  <si>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</si>
  <si>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</si>
  <si>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</si>
  <si>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</si>
  <si>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</si>
  <si>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</si>
  <si>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</si>
  <si>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</si>
  <si>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</si>
  <si>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</si>
  <si>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</si>
  <si>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</si>
  <si>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</si>
  <si>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</si>
  <si>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</si>
  <si>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</si>
  <si>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</si>
  <si>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</si>
  <si>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</si>
  <si>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</si>
  <si>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</si>
  <si>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</si>
  <si>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</si>
  <si>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</si>
  <si>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</si>
  <si>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</si>
  <si>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</si>
  <si>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</si>
  <si>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</si>
  <si>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</si>
  <si>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</si>
  <si>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</si>
  <si>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</si>
  <si>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</si>
  <si>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</si>
  <si>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</si>
  <si>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</si>
  <si>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</si>
  <si>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</si>
  <si>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</si>
  <si>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</si>
  <si>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</si>
  <si>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</si>
  <si>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</si>
  <si>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</si>
  <si>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</si>
  <si>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</si>
  <si>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</si>
  <si>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</si>
  <si>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</si>
  <si>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</si>
  <si>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</si>
  <si>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</si>
  <si>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</si>
  <si>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</si>
  <si>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</si>
  <si>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</si>
  <si>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</si>
  <si>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</si>
  <si>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</si>
  <si>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</si>
  <si>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</si>
  <si>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</si>
  <si>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</si>
  <si>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</si>
  <si>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</si>
  <si>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</si>
  <si>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</si>
  <si>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</si>
  <si>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</si>
  <si>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</si>
  <si>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</si>
  <si>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</si>
  <si>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</si>
  <si>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</si>
  <si>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</si>
  <si>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</si>
  <si>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</si>
  <si>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</si>
  <si>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</si>
  <si>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</si>
  <si>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</si>
  <si>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</si>
  <si>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</si>
  <si>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</si>
  <si>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</si>
  <si>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</si>
  <si>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</si>
  <si>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</si>
  <si>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</si>
  <si>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</si>
  <si>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</si>
  <si>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</si>
  <si>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</si>
  <si>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</si>
  <si>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</si>
  <si>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</si>
  <si>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</si>
  <si>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</si>
  <si>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</si>
  <si>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</si>
  <si>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</si>
  <si>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</si>
  <si>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</si>
  <si>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</si>
  <si>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</si>
  <si>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</si>
  <si>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</si>
  <si>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</si>
  <si>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</si>
  <si>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</si>
  <si>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</si>
  <si>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</si>
  <si>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</si>
  <si>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</si>
  <si>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</si>
  <si>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</si>
  <si>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</si>
  <si>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</si>
  <si>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</si>
  <si>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</si>
  <si>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</si>
  <si>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</si>
  <si>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</si>
  <si>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</si>
  <si>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</si>
  <si>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</si>
  <si>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</si>
  <si>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</si>
  <si>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</si>
  <si>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</si>
  <si>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</si>
  <si>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</si>
  <si>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</si>
  <si>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</si>
  <si>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</si>
  <si>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</si>
  <si>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</si>
  <si>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</si>
  <si>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</si>
  <si>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</si>
  <si>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</si>
  <si>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</si>
  <si>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</si>
  <si>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</si>
  <si>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</si>
  <si>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</si>
  <si>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</si>
  <si>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</si>
  <si>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</si>
  <si>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</si>
  <si>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</si>
  <si>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</si>
  <si>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</si>
  <si>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</si>
  <si>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</si>
  <si>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</si>
  <si>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</si>
  <si>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</si>
  <si>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</si>
  <si>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</si>
  <si>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</si>
  <si>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</si>
  <si>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</si>
  <si>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</si>
  <si>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</si>
  <si>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</si>
  <si>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</si>
  <si>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</si>
  <si>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</si>
  <si>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</si>
  <si>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</si>
  <si>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</si>
  <si>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</si>
  <si>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</si>
  <si>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</si>
  <si>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</si>
  <si>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</si>
  <si>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</si>
  <si>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</si>
  <si>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</si>
  <si>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</si>
  <si>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</si>
  <si>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</si>
  <si>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</si>
  <si>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</si>
  <si>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</si>
  <si>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</si>
  <si>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</si>
  <si>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</si>
  <si>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</si>
  <si>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</si>
  <si>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</si>
  <si>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</si>
  <si>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</si>
  <si>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</si>
  <si>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</si>
  <si>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</si>
  <si>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</si>
  <si>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</si>
  <si>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</si>
  <si>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</si>
  <si>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</si>
  <si>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</si>
  <si>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</si>
  <si>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</si>
  <si>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</si>
  <si>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</si>
  <si>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</si>
  <si>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</si>
  <si>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</si>
  <si>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</si>
  <si>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</si>
  <si>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</si>
  <si>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</si>
  <si>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</si>
  <si>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</si>
  <si>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</si>
  <si>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</si>
  <si>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</si>
  <si>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</si>
  <si>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</si>
  <si>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</si>
  <si>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</si>
  <si>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</si>
  <si>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</si>
  <si>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</si>
  <si>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</si>
  <si>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</si>
  <si>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</si>
  <si>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</si>
  <si>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</si>
  <si>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</si>
  <si>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</si>
  <si>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</si>
  <si>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</si>
  <si>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</si>
  <si>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</si>
  <si>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</si>
  <si>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</si>
  <si>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</si>
  <si>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</si>
  <si>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</si>
  <si>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</si>
  <si>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</si>
  <si>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</si>
  <si>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</si>
  <si>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</si>
  <si>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</si>
  <si>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</si>
  <si>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</si>
  <si>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</si>
  <si>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</si>
  <si>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</si>
  <si>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</si>
  <si>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</si>
  <si>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</si>
  <si>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</si>
  <si>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</si>
  <si>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</si>
  <si>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</si>
  <si>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</si>
  <si>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</si>
  <si>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</si>
  <si>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</si>
  <si>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</si>
  <si>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</si>
  <si>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</si>
  <si>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</si>
  <si>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</si>
  <si>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</si>
  <si>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</si>
  <si>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</si>
  <si>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</si>
  <si>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</si>
  <si>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</si>
  <si>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</si>
  <si>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</si>
  <si>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</si>
  <si>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</si>
  <si>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</si>
  <si>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</si>
  <si>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</si>
  <si>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</si>
  <si>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</si>
  <si>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</si>
  <si>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</si>
  <si>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</si>
  <si>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</si>
  <si>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</si>
  <si>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</si>
  <si>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</si>
  <si>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</si>
  <si>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</si>
  <si>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</si>
  <si>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</si>
  <si>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</si>
  <si>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</si>
  <si>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</si>
  <si>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</si>
  <si>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</si>
  <si>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</si>
  <si>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</si>
  <si>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</si>
  <si>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</si>
  <si>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</si>
  <si>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</si>
  <si>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</si>
  <si>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</si>
  <si>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</si>
  <si>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</si>
  <si>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</si>
  <si>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</si>
  <si>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</si>
  <si>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</si>
  <si>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</si>
  <si>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</si>
  <si>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</si>
  <si>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</si>
  <si>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</si>
  <si>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</si>
  <si>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</si>
  <si>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</si>
  <si>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</si>
  <si>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</si>
  <si>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</si>
  <si>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</si>
  <si>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</si>
  <si>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</si>
  <si>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</si>
  <si>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</si>
  <si>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</si>
  <si>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</si>
  <si>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</si>
  <si>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</si>
  <si>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</si>
  <si>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</si>
  <si>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</si>
  <si>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</si>
  <si>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</si>
  <si>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</si>
  <si>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</si>
  <si>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</si>
  <si>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</si>
  <si>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</si>
  <si>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</si>
  <si>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</si>
  <si>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</si>
  <si>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</si>
  <si>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</si>
  <si>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</si>
  <si>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</si>
  <si>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</si>
  <si>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</si>
  <si>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</si>
  <si>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</si>
  <si>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</si>
  <si>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</si>
  <si>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</si>
  <si>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</si>
  <si>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</si>
  <si>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</si>
  <si>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</si>
  <si>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</si>
  <si>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</si>
  <si>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</si>
  <si>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</si>
  <si>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</si>
  <si>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</si>
  <si>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</si>
  <si>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</si>
  <si>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</si>
  <si>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</si>
  <si>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</si>
  <si>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</si>
  <si>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</si>
  <si>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</si>
  <si>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</si>
  <si>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</si>
  <si>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</si>
  <si>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</si>
  <si>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</si>
  <si>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</si>
  <si>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</si>
  <si>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</si>
  <si>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</si>
  <si>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</si>
  <si>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</si>
  <si>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</si>
  <si>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</si>
  <si>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</si>
  <si>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</si>
  <si>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</si>
  <si>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</si>
  <si>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</si>
  <si>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</si>
  <si>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</si>
  <si>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</si>
  <si>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</si>
  <si>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</si>
  <si>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</si>
  <si>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</si>
  <si>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</si>
  <si>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</si>
  <si>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</si>
  <si>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</si>
  <si>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</si>
  <si>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</si>
  <si>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</si>
  <si>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</si>
  <si>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</si>
  <si>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</si>
  <si>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</si>
  <si>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</si>
  <si>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</si>
  <si>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</si>
  <si>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</si>
  <si>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</si>
  <si>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</si>
  <si>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</si>
  <si>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</si>
  <si>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</si>
  <si>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</si>
  <si>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</si>
  <si>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</si>
  <si>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</si>
  <si>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</si>
  <si>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</si>
  <si>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</si>
  <si>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</si>
  <si>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</si>
  <si>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</si>
  <si>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</si>
  <si>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</si>
  <si>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</si>
  <si>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</si>
  <si>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</si>
  <si>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</si>
  <si>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</si>
  <si>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</si>
  <si>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</si>
  <si>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</si>
  <si>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</si>
  <si>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</si>
  <si>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</si>
  <si>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</si>
  <si>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</si>
  <si>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</si>
  <si>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</si>
  <si>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</si>
  <si>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</si>
  <si>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</si>
  <si>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</si>
  <si>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</si>
  <si>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</si>
  <si>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</si>
  <si>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</si>
  <si>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</si>
  <si>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</si>
  <si>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</si>
  <si>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</si>
  <si>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</si>
  <si>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</si>
  <si>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</si>
  <si>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</si>
  <si>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</si>
  <si>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</si>
  <si>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</si>
  <si>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</si>
  <si>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</si>
  <si>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</si>
  <si>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</si>
  <si>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</si>
  <si>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</si>
  <si>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</si>
  <si>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</si>
  <si>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</si>
  <si>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</si>
  <si>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</si>
  <si>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</si>
  <si>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</si>
  <si>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</si>
  <si>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</si>
  <si>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</si>
  <si>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</si>
  <si>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</si>
  <si>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</si>
  <si>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</si>
  <si>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</si>
  <si>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</si>
  <si>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</si>
  <si>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</si>
  <si>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</si>
  <si>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</si>
  <si>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</si>
  <si>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</si>
  <si>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</si>
  <si>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</si>
  <si>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</si>
  <si>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</si>
  <si>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</si>
  <si>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</si>
  <si>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</si>
  <si>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</si>
  <si>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</si>
  <si>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</si>
  <si>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</si>
  <si>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</si>
  <si>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</si>
  <si>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</si>
  <si>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</si>
  <si>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</si>
  <si>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</si>
  <si>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</si>
  <si>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</si>
  <si>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</si>
  <si>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</si>
  <si>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</si>
  <si>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</si>
  <si>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</si>
  <si>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</si>
  <si>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</si>
  <si>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</si>
  <si>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</si>
  <si>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</si>
  <si>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</si>
  <si>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</si>
  <si>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</si>
  <si>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</si>
  <si>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</si>
  <si>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</si>
  <si>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</si>
  <si>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</si>
  <si>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</si>
  <si>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</si>
  <si>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</si>
  <si>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</si>
  <si>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</si>
  <si>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</si>
  <si>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</si>
  <si>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</si>
  <si>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</si>
  <si>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</si>
  <si>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</si>
  <si>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</si>
  <si>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</si>
  <si>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</si>
  <si>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</si>
  <si>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</si>
  <si>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</si>
  <si>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</si>
  <si>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</si>
  <si>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</si>
  <si>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</si>
  <si>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</si>
  <si>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</si>
  <si>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</si>
  <si>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</si>
  <si>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</si>
  <si>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</si>
  <si>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</si>
  <si>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</si>
  <si>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</si>
  <si>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</si>
  <si>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</si>
  <si>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</si>
  <si>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</si>
  <si>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</si>
  <si>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</si>
  <si>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</si>
  <si>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</si>
  <si>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</si>
  <si>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</si>
  <si>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</si>
  <si>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</si>
  <si>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</si>
  <si>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</si>
  <si>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</si>
  <si>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</si>
  <si>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</si>
  <si>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</si>
  <si>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</si>
  <si>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</si>
  <si>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</si>
  <si>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</si>
  <si>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</si>
  <si>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</si>
  <si>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</si>
  <si>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</si>
  <si>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</si>
  <si>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</si>
  <si>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</si>
  <si>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</si>
  <si>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</si>
  <si>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</si>
  <si>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</si>
  <si>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</si>
  <si>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</si>
  <si>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</si>
  <si>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</si>
  <si>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</si>
  <si>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</si>
  <si>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</si>
  <si>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</si>
  <si>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</si>
  <si>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</si>
  <si>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</si>
  <si>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</si>
  <si>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</si>
  <si>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</si>
  <si>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</si>
  <si>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</si>
  <si>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</si>
  <si>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</si>
  <si>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</si>
  <si>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</si>
  <si>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</si>
  <si>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</si>
  <si>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</si>
  <si>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</si>
  <si>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</si>
  <si>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</si>
  <si>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</si>
  <si>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</si>
  <si>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</si>
  <si>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</si>
  <si>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</si>
  <si>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</si>
  <si>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</si>
  <si>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</si>
  <si>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</si>
  <si>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</si>
  <si>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</si>
  <si>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</si>
  <si>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</si>
  <si>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</si>
  <si>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</si>
  <si>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</si>
  <si>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</si>
  <si>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</si>
  <si>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</si>
  <si>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</si>
  <si>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</si>
  <si>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</si>
  <si>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</si>
  <si>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</si>
  <si>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</si>
  <si>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</si>
  <si>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</si>
  <si>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</si>
  <si>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</si>
  <si>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</si>
  <si>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</si>
  <si>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</si>
  <si>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</si>
  <si>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</si>
  <si>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</si>
  <si>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</si>
  <si>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</si>
  <si>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</si>
  <si>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</si>
  <si>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</si>
  <si>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</si>
  <si>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</si>
  <si>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</si>
  <si>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</si>
  <si>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</si>
  <si>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</si>
  <si>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</si>
  <si>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</si>
  <si>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</si>
  <si>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</si>
  <si>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</si>
  <si>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</si>
  <si>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</si>
  <si>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</si>
  <si>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</si>
  <si>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</si>
  <si>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</si>
  <si>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</si>
  <si>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</si>
  <si>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</si>
  <si>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</si>
  <si>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</si>
  <si>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</si>
  <si>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</si>
  <si>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</si>
  <si>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</si>
  <si>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</si>
  <si>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</si>
  <si>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</si>
  <si>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</si>
  <si>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</si>
  <si>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</si>
  <si>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</si>
  <si>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</si>
  <si>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</si>
  <si>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</si>
  <si>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</si>
  <si>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</si>
  <si>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</si>
  <si>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</si>
  <si>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</si>
  <si>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</si>
  <si>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</si>
  <si>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</si>
  <si>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</si>
  <si>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</si>
  <si>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</si>
  <si>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</si>
  <si>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</si>
  <si>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</si>
  <si>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</si>
  <si>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</si>
  <si>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</si>
  <si>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</si>
  <si>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</si>
  <si>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</si>
  <si>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</si>
  <si>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</si>
  <si>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</si>
  <si>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</si>
  <si>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</si>
  <si>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</si>
  <si>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</si>
  <si>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</si>
  <si>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</si>
  <si>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</si>
  <si>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</si>
  <si>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</si>
  <si>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</si>
  <si>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</si>
  <si>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</si>
  <si>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</si>
  <si>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</si>
  <si>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</si>
  <si>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</si>
  <si>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</si>
  <si>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</si>
  <si>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</si>
  <si>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</si>
  <si>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</si>
  <si>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</si>
  <si>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</si>
  <si>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</si>
  <si>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</si>
  <si>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</si>
  <si>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</si>
  <si>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</si>
  <si>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</si>
  <si>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</si>
  <si>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</si>
  <si>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</si>
  <si>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</si>
  <si>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</si>
  <si>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</si>
  <si>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</si>
  <si>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</si>
  <si>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</si>
  <si>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</si>
  <si>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</si>
  <si>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</si>
  <si>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</si>
  <si>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</si>
  <si>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</si>
  <si>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</si>
  <si>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</si>
  <si>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</si>
  <si>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</si>
  <si>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</si>
  <si>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</si>
  <si>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</si>
  <si>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</si>
  <si>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</si>
  <si>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</si>
  <si>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</si>
  <si>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</si>
  <si>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</si>
  <si>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</si>
  <si>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</si>
  <si>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</si>
  <si>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</si>
  <si>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</si>
  <si>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</si>
  <si>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</si>
  <si>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</si>
  <si>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</si>
  <si>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</si>
  <si>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</si>
  <si>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</si>
  <si>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</si>
  <si>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</si>
  <si>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</si>
  <si>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</si>
  <si>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</si>
  <si>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</si>
  <si>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</si>
  <si>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</si>
  <si>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</si>
  <si>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</si>
  <si>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</si>
  <si>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</si>
  <si>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</si>
  <si>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</si>
  <si>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</si>
  <si>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</si>
  <si>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</si>
  <si>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</si>
  <si>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</si>
  <si>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</si>
  <si>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</si>
  <si>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</si>
  <si>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</si>
  <si>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</si>
  <si>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</si>
  <si>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</si>
  <si>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</si>
  <si>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</si>
  <si>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</si>
  <si>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</si>
  <si>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</si>
  <si>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</si>
  <si>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</si>
  <si>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</si>
  <si>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</si>
  <si>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</si>
  <si>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</si>
  <si>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</si>
  <si>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</si>
  <si>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</si>
  <si>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</si>
  <si>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</si>
  <si>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</si>
  <si>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</si>
  <si>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</si>
  <si>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</si>
  <si>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</si>
  <si>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</si>
  <si>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</si>
  <si>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</si>
  <si>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</si>
  <si>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</si>
  <si>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</si>
  <si>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</si>
  <si>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</si>
  <si>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</si>
  <si>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</si>
  <si>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</si>
  <si>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</si>
  <si>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</si>
  <si>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</si>
  <si>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</si>
  <si>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</si>
  <si>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</si>
  <si>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</si>
  <si>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</si>
  <si>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</si>
  <si>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</si>
  <si>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</si>
  <si>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</si>
  <si>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</si>
  <si>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</si>
  <si>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</si>
  <si>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</si>
  <si>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</si>
  <si>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</si>
  <si>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</si>
  <si>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</si>
  <si>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</si>
  <si>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</si>
  <si>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</si>
  <si>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</si>
  <si>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</si>
  <si>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</si>
  <si>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</si>
  <si>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</si>
  <si>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</si>
  <si>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</si>
  <si>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</si>
  <si>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</si>
  <si>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</si>
  <si>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</si>
  <si>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</si>
  <si>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</si>
  <si>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</si>
  <si>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</si>
  <si>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</si>
  <si>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</si>
  <si>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</si>
  <si>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</si>
  <si>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</si>
  <si>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</si>
  <si>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</si>
  <si>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</si>
  <si>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</si>
  <si>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</si>
  <si>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</si>
  <si>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</si>
  <si>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</si>
  <si>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</si>
  <si>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</si>
  <si>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</si>
  <si>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</si>
  <si>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</si>
  <si>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</si>
  <si>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</si>
  <si>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</si>
  <si>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</si>
  <si>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</si>
  <si>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</si>
  <si>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</si>
  <si>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</si>
  <si>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</si>
  <si>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</si>
  <si>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</si>
  <si>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</si>
  <si>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</si>
  <si>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</si>
  <si>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</si>
  <si>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</si>
  <si>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</si>
  <si>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</si>
  <si>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</si>
  <si>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</si>
  <si>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</si>
  <si>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</si>
  <si>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</si>
  <si>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</si>
  <si>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</si>
  <si>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</si>
  <si>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</si>
  <si>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</si>
  <si>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</si>
  <si>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</si>
  <si>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</si>
  <si>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</si>
  <si>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</si>
  <si>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</si>
  <si>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</si>
  <si>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</si>
  <si>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</si>
  <si>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</si>
  <si>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</si>
  <si>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</si>
  <si>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</si>
  <si>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</si>
  <si>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</si>
  <si>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</si>
  <si>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</si>
  <si>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</si>
  <si>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</si>
  <si>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</si>
  <si>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</si>
  <si>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</si>
  <si>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</si>
  <si>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</si>
  <si>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</si>
  <si>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</si>
  <si>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</si>
  <si>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</si>
  <si>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</si>
  <si>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</si>
  <si>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</si>
  <si>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</si>
  <si>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</si>
  <si>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</si>
  <si>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</si>
  <si>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</si>
  <si>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</si>
  <si>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</si>
  <si>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</si>
  <si>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</si>
  <si>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</si>
  <si>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</si>
  <si>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</si>
  <si>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</si>
  <si>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</si>
  <si>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</si>
  <si>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</si>
  <si>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</si>
  <si>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</si>
  <si>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</si>
  <si>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</si>
  <si>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</si>
  <si>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</si>
  <si>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</si>
  <si>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</si>
  <si>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</si>
  <si>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</si>
  <si>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</si>
  <si>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</si>
  <si>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</si>
  <si>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</si>
  <si>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</si>
  <si>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</si>
  <si>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</si>
  <si>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</si>
  <si>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</si>
  <si>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</si>
  <si>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</si>
  <si>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</si>
  <si>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</si>
  <si>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</si>
  <si>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</si>
  <si>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</si>
  <si>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</si>
  <si>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</si>
  <si>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</si>
  <si>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</si>
  <si>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</si>
  <si>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</si>
  <si>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</si>
  <si>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</si>
  <si>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</si>
  <si>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</si>
  <si>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</si>
  <si>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</si>
  <si>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</si>
  <si>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</si>
  <si>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</si>
  <si>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</si>
  <si>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</si>
  <si>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</si>
  <si>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</si>
  <si>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</si>
  <si>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</si>
  <si>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</si>
  <si>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</si>
  <si>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</si>
  <si>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</si>
  <si>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</si>
  <si>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</si>
  <si>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</si>
  <si>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</si>
  <si>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</si>
  <si>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</si>
  <si>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</si>
  <si>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</si>
  <si>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</si>
  <si>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</si>
  <si>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</si>
  <si>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</si>
  <si>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</si>
  <si>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</si>
  <si>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</si>
  <si>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</si>
  <si>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</si>
  <si>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</si>
  <si>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</si>
  <si>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</si>
  <si>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</si>
  <si>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</si>
  <si>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</si>
  <si>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</si>
  <si>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</si>
  <si>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</si>
  <si>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</si>
  <si>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</si>
  <si>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</si>
  <si>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</si>
  <si>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</si>
  <si>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</si>
  <si>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</si>
  <si>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</si>
  <si>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</si>
  <si>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</si>
  <si>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</si>
  <si>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</si>
  <si>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</si>
  <si>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</si>
  <si>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</si>
  <si>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</si>
  <si>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</si>
  <si>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</si>
  <si>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</si>
  <si>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</si>
  <si>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</si>
  <si>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</si>
  <si>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</si>
  <si>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</si>
  <si>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</si>
  <si>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</si>
  <si>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</si>
  <si>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</si>
  <si>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</si>
  <si>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</si>
  <si>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</si>
  <si>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</si>
  <si>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</si>
  <si>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</si>
  <si>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</si>
  <si>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</si>
  <si>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</si>
  <si>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</si>
  <si>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</si>
  <si>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</si>
  <si>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</si>
  <si>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</si>
  <si>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</si>
  <si>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</si>
  <si>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</si>
  <si>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</si>
  <si>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</si>
  <si>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</si>
  <si>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</si>
  <si>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</si>
  <si>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</si>
  <si>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</si>
  <si>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</si>
  <si>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</si>
  <si>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</si>
  <si>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Bud Industries</t>
  </si>
  <si>
    <t>Arie Maayan</t>
  </si>
  <si>
    <t>amaayan@budind.com</t>
  </si>
  <si>
    <t>4409463200</t>
  </si>
  <si>
    <t>Director of engineering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</si>
</sst>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amaayan@budind.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60"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9D35833-BF0D-40DE-8FBE-0AEC686D9C6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068B2BA-8D86-4D0A-A05F-5F838CA79FC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E30" sqref="E3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4"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7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15880</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6" t="s">
        <v>15881</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15882</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4" t="s">
        <v>15880</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15883</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6" t="s">
        <v>15881</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t="s">
        <v>15882</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46156</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474</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 xml:space="preserve">Tin  </v>
      </c>
      <c r="C27" s="32"/>
      <c r="D27" s="327" t="s">
        <v>474</v>
      </c>
      <c r="E27" s="328"/>
      <c r="F27" s="11"/>
      <c r="G27" s="335"/>
      <c r="H27" s="336"/>
      <c r="I27" s="336"/>
      <c r="J27" s="337"/>
      <c r="K27" s="33"/>
      <c r="L27" s="113"/>
      <c r="P27" s="42" t="str">
        <f>IF(D$27="No","","(*)")</f>
        <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7" t="s">
        <v>474</v>
      </c>
      <c r="E28" s="328"/>
      <c r="F28" s="11"/>
      <c r="G28" s="335"/>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474</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v>
      </c>
      <c r="C31" s="9"/>
      <c r="D31" s="332" t="str">
        <f ca="1">D25</f>
        <v>Answer</v>
      </c>
      <c r="E31" s="332"/>
      <c r="F31" s="17"/>
      <c r="G31" s="41" t="str">
        <f ca="1">G25</f>
        <v>Comments</v>
      </c>
      <c r="H31" s="41"/>
      <c r="I31" s="41"/>
      <c r="J31" s="80"/>
      <c r="K31" s="33"/>
      <c r="L31" s="108" t="s">
        <v>1197</v>
      </c>
      <c r="P31" s="42">
        <f>COUNTIF(D$26:D$29,"No")</f>
        <v>4</v>
      </c>
      <c r="Q31" s="42" t="str">
        <f>IF(P31=4,""," (*)")</f>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 xml:space="preserve">Tin  </v>
      </c>
      <c r="C33" s="9"/>
      <c r="D33" s="327"/>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v>
      </c>
      <c r="C37" s="9"/>
      <c r="D37" s="332" t="str">
        <f ca="1">D25</f>
        <v>Answer</v>
      </c>
      <c r="E37" s="332"/>
      <c r="F37" s="17"/>
      <c r="G37" s="41" t="str">
        <f ca="1">G25</f>
        <v>Comments</v>
      </c>
      <c r="H37" s="375"/>
      <c r="I37" s="375"/>
      <c r="J37" s="375"/>
      <c r="K37" s="33"/>
      <c r="L37" s="108" t="s">
        <v>1197</v>
      </c>
      <c r="P37" s="42">
        <f>COUNTIF(D$26:D$29,"No")+COUNTIF(D$32:D$35,"No")</f>
        <v>4</v>
      </c>
      <c r="Q37" s="42" t="str">
        <f>IF(P37&gt;3,""," (*)")</f>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 xml:space="preserve">Tin  </v>
      </c>
      <c r="C39" s="9"/>
      <c r="D39" s="327"/>
      <c r="E39" s="328"/>
      <c r="F39" s="44"/>
      <c r="G39" s="335"/>
      <c r="H39" s="336"/>
      <c r="I39" s="336"/>
      <c r="J39" s="337"/>
      <c r="K39" s="33"/>
      <c r="L39" s="113"/>
      <c r="P39" s="42" t="str">
        <f>IF((OR(D$27="No",D$33="No")),"","(*)")</f>
        <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v>
      </c>
      <c r="C43" s="9"/>
      <c r="D43" s="332" t="str">
        <f ca="1">D25</f>
        <v>Answer</v>
      </c>
      <c r="E43" s="332"/>
      <c r="F43" s="17"/>
      <c r="G43" s="41" t="str">
        <f ca="1">G25</f>
        <v>Comments</v>
      </c>
      <c r="H43" s="41"/>
      <c r="I43" s="41"/>
      <c r="J43" s="80"/>
      <c r="K43" s="33"/>
      <c r="L43" s="108"/>
      <c r="P43" s="42">
        <f>COUNTIF(D$26:D$29,"No")+COUNTIF(D$32:D$35,"No")</f>
        <v>4</v>
      </c>
      <c r="Q43" s="42" t="str">
        <f>IF(P43&gt;3,""," (*)")</f>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327"/>
      <c r="E45" s="328"/>
      <c r="F45" s="44"/>
      <c r="G45" s="335"/>
      <c r="H45" s="336"/>
      <c r="I45" s="336"/>
      <c r="J45" s="337"/>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 xml:space="preserve">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 xml:space="preserve">Tin  </v>
      </c>
      <c r="C51" s="9"/>
      <c r="D51" s="327"/>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 xml:space="preserve">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 xml:space="preserve">Tin  </v>
      </c>
      <c r="C57" s="32"/>
      <c r="D57" s="369"/>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69"/>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 xml:space="preserve">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 xml:space="preserve">Tin  </v>
      </c>
      <c r="C63" s="9"/>
      <c r="D63" s="327"/>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 xml:space="preserve">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 xml:space="preserve">Tin  </v>
      </c>
      <c r="C69" s="32"/>
      <c r="D69" s="327"/>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v>
      </c>
      <c r="C75" s="54"/>
      <c r="D75" s="327"/>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v>
      </c>
      <c r="C77" s="54"/>
      <c r="D77" s="327"/>
      <c r="E77" s="328"/>
      <c r="F77" s="54"/>
      <c r="G77" s="339"/>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v>
      </c>
      <c r="C79" s="54"/>
      <c r="D79" s="327"/>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v>
      </c>
      <c r="C81" s="54"/>
      <c r="D81" s="327"/>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v>
      </c>
      <c r="C83" s="54"/>
      <c r="D83" s="327"/>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v>
      </c>
      <c r="C85" s="54"/>
      <c r="D85" s="380"/>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v>
      </c>
      <c r="C87" s="54"/>
      <c r="D87" s="327"/>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v>
      </c>
      <c r="C89" s="54"/>
      <c r="D89" s="327"/>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
      </c>
    </row>
    <row r="99" spans="2:7" ht="15.75" hidden="1">
      <c r="B99" s="172">
        <v>1</v>
      </c>
      <c r="D99" s="264" t="str">
        <f>IF(AND(OR($D$27="Yes",$D$27=""),OR($D$33="Yes",$D$33="")),"Yes","")</f>
        <v/>
      </c>
      <c r="E99" s="264" t="str">
        <f>IF(AND(OR($D$26="Yes",$D$26=""),OR($D$32="Yes",$D$32="")),"Greater than 50%","")</f>
        <v/>
      </c>
      <c r="G99" s="264" t="str">
        <f>IF(OR($D$27="Yes",$D$27=""),"No","")</f>
        <v/>
      </c>
    </row>
    <row r="100" spans="2:7" ht="15.75" hidden="1">
      <c r="B100" s="219" t="s">
        <v>2370</v>
      </c>
      <c r="D100" s="264" t="str">
        <f>IF(AND(OR($D$27="Yes",$D$27=""),OR($D$33="Yes",$D$33="")),"No","")</f>
        <v/>
      </c>
      <c r="E100" s="264" t="str">
        <f>IF(AND(OR($D$26="Yes",$D$26=""),OR($D$32="Yes",$D$32="")),"50% or less","")</f>
        <v/>
      </c>
      <c r="G100" s="264" t="str">
        <f>IF(OR($D$28="Yes",$D$28=""),"Yes","")</f>
        <v/>
      </c>
    </row>
    <row r="101" spans="2:7" ht="15.75" hidden="1">
      <c r="B101" s="219" t="s">
        <v>2371</v>
      </c>
      <c r="D101" s="264" t="str">
        <f>IF(AND(OR($D$27="Yes",$D$27=""),OR($D$33="Yes",$D$33="")),"Unknown","")</f>
        <v/>
      </c>
      <c r="E101" s="264" t="str">
        <f>IF(AND(OR($D$26="Yes",$D$26=""),OR($D$32="Yes",$D$32="")),"None","")</f>
        <v/>
      </c>
      <c r="G101" s="264" t="str">
        <f>IF(OR($D$28="Yes",$D$28=""),"No","")</f>
        <v/>
      </c>
    </row>
    <row r="102" spans="2:7" ht="15.75" hidden="1">
      <c r="B102" s="219" t="s">
        <v>2372</v>
      </c>
      <c r="D102" s="264" t="str">
        <f>IF(AND(OR($D$28="Yes",$D$28=""),OR($D$34="Yes",$D$34="")),"Yes","")</f>
        <v/>
      </c>
      <c r="E102" s="264" t="str">
        <f>IF(AND(OR($D$27="Yes",$D$27=""),OR($D$33="Yes",$D$33="")),"100%","")</f>
        <v/>
      </c>
      <c r="G102" s="264" t="str">
        <f>IF(OR($D$29="Yes",$D$29=""),"Yes","")</f>
        <v/>
      </c>
    </row>
    <row r="103" spans="2:7" ht="15.75" hidden="1">
      <c r="B103" s="219" t="s">
        <v>2373</v>
      </c>
      <c r="D103" s="264" t="str">
        <f>IF(AND(OR($D$28="Yes",$D$28=""),OR($D$34="Yes",$D$34="")),"No","")</f>
        <v/>
      </c>
      <c r="E103" s="264" t="str">
        <f>IF(AND(OR($D$27="Yes",$D$27=""),OR($D$33="Yes",$D$33="")),"Greater than 90%","")</f>
        <v/>
      </c>
      <c r="G103" s="264" t="str">
        <f>IF(OR($D$29="Yes",$D$29=""),"No","")</f>
        <v/>
      </c>
    </row>
    <row r="104" spans="2:7" ht="15.75" hidden="1">
      <c r="B104" s="219" t="s">
        <v>476</v>
      </c>
      <c r="D104" s="264" t="str">
        <f>IF(AND(OR($D$28="Yes",$D$28=""),OR($D$34="Yes",$D$34="")),"Unknown","")</f>
        <v/>
      </c>
      <c r="E104" s="264" t="str">
        <f>IF(AND(OR($D$27="Yes",$D$27=""),OR($D$33="Yes",$D$33="")),"Greater than 75%","")</f>
        <v/>
      </c>
    </row>
    <row r="105" spans="2:7" ht="15.75" hidden="1">
      <c r="B105" s="219" t="s">
        <v>14427</v>
      </c>
      <c r="D105" s="264" t="str">
        <f>IF(AND(OR($D$29="Yes",$D$29=""),OR($D$35="Yes",$D$35="")),"Yes","")</f>
        <v/>
      </c>
      <c r="E105" s="264" t="str">
        <f>IF(AND(OR($D$27="Yes",$D$27=""),OR($D$33="Yes",$D$33="")),"Greater than 50%","")</f>
        <v/>
      </c>
    </row>
    <row r="106" spans="2:7" ht="15.75" hidden="1">
      <c r="B106" s="219" t="s">
        <v>11949</v>
      </c>
      <c r="D106" s="264" t="str">
        <f>IF(AND(OR($D$29="Yes",$D$29=""),OR($D$35="Yes",$D$35="")),"No","")</f>
        <v/>
      </c>
      <c r="E106" s="264" t="str">
        <f>IF(AND(OR($D$27="Yes",$D$27=""),OR($D$33="Yes",$D$33="")),"50% or less","")</f>
        <v/>
      </c>
    </row>
    <row r="107" spans="2:7" ht="15.75" hidden="1">
      <c r="B107" s="219" t="s">
        <v>474</v>
      </c>
      <c r="D107" s="264" t="str">
        <f>IF(AND(OR($D$29="Yes",$D$29=""),OR($D$35="Yes",$D$35="")),"Unknown","")</f>
        <v/>
      </c>
      <c r="E107" s="264" t="str">
        <f>IF(AND(OR($D$27="Yes",$D$27=""),OR($D$33="Yes",$D$33="")),"None","")</f>
        <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0C5363F-A352-4E47-A572-C3BDFDA996EB}"/>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tr">
        <f>IF(LEN(A5)=0,"",INDEX('Smelter Look-up'!$A:$A,MATCH($A5,'Smelter Look-up'!$E:$E,0)))</f>
        <v/>
      </c>
      <c r="C5" s="170" t="str">
        <f>IF(LEN(A5)=0,"",INDEX('Smelter Look-up'!$C:$C,MATCH($A5,'Smelter Look-up'!$E:$E,0)))</f>
        <v/>
      </c>
      <c r="D5" s="213"/>
      <c r="E5" s="166" t="str">
        <f ca="1">IF(ISERROR($V5),"",OFFSET('Smelter Look-up'!$D$4,$V5-4,0)&amp;"")</f>
        <v/>
      </c>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ca="1" si="0">IF(AND(C5="Smelter not listed",OR(LEN(D5)=0,LEN(E5)=0)),1,0)</f>
        <v>0</v>
      </c>
      <c r="AB5" s="211" t="str">
        <f t="shared" ref="AB5" si="1">B5&amp;C5</f>
        <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D191DA1-DE7A-41ED-8698-F968AE862871}"/>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Bud Industries</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Arie Maayan</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amaayan@budind.com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4409463200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Arie Maayan</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amaayan@budind.com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46156</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 xml:space="preserve">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 xml:space="preserve">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 xml:space="preserve">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 xml:space="preserve">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v>
      </c>
      <c r="B54" s="86">
        <f>Declaration!D75</f>
        <v>0</v>
      </c>
      <c r="C54" s="86" t="str">
        <f t="shared" ref="C54:C60" ca="1" si="10">IF(H54=1,J54,I54)</f>
        <v>Complete</v>
      </c>
      <c r="D54" s="92" t="str">
        <f>IF(H54=1,"Click here to answer question (A)","")</f>
        <v/>
      </c>
      <c r="E54" s="19" t="s">
        <v>1261</v>
      </c>
      <c r="F54" s="91">
        <f>IF(SUM(F$24:F$27)=0,0,1)</f>
        <v>0</v>
      </c>
      <c r="G54" s="67">
        <f>IF(B54=0,1,0)</f>
        <v>1</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v>
      </c>
      <c r="B55" s="86">
        <f>Declaration!D77</f>
        <v>0</v>
      </c>
      <c r="C55" s="86" t="str">
        <f t="shared" ca="1" si="10"/>
        <v>Complete</v>
      </c>
      <c r="D55" s="92" t="str">
        <f>IF(H55=1,"Click here to answer question (B)","")</f>
        <v/>
      </c>
      <c r="E55" s="19" t="s">
        <v>1261</v>
      </c>
      <c r="F55" s="91">
        <f t="shared" ref="F55" si="12">F$54</f>
        <v>0</v>
      </c>
      <c r="G55" s="67">
        <f>IF(B55=0,1,0)</f>
        <v>1</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v>
      </c>
      <c r="B57" s="86">
        <f>Declaration!D79</f>
        <v>0</v>
      </c>
      <c r="C57" s="86" t="str">
        <f t="shared" ca="1" si="10"/>
        <v>Complete</v>
      </c>
      <c r="D57" s="92" t="str">
        <f>IF(H57=1,"Click here to answer question (C)","")</f>
        <v/>
      </c>
      <c r="E57" s="19" t="s">
        <v>1261</v>
      </c>
      <c r="F57" s="91">
        <f>F$54</f>
        <v>0</v>
      </c>
      <c r="G57" s="67">
        <f>IF(B57=0,1,0)</f>
        <v>1</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v>
      </c>
      <c r="B58" s="86">
        <f>Declaration!D81</f>
        <v>0</v>
      </c>
      <c r="C58" s="86" t="str">
        <f t="shared" ca="1" si="10"/>
        <v>Complete</v>
      </c>
      <c r="D58" s="92" t="str">
        <f>IF(H58=1,"Click here to answer question (D)","")</f>
        <v/>
      </c>
      <c r="E58" s="19" t="s">
        <v>1261</v>
      </c>
      <c r="F58" s="91">
        <f>F$54</f>
        <v>0</v>
      </c>
      <c r="G58" s="67">
        <f>IF(B58=0,1,0)</f>
        <v>1</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v>
      </c>
      <c r="B59" s="86">
        <f>Declaration!D83</f>
        <v>0</v>
      </c>
      <c r="C59" s="86" t="str">
        <f t="shared" ca="1" si="10"/>
        <v>Complete</v>
      </c>
      <c r="D59" s="92" t="str">
        <f>IF(H59=1,"Click here to answer question (E)","")</f>
        <v/>
      </c>
      <c r="E59" s="19" t="s">
        <v>1261</v>
      </c>
      <c r="F59" s="91">
        <f>F$54</f>
        <v>0</v>
      </c>
      <c r="G59" s="67">
        <f>IF(B59=0,1,0)</f>
        <v>1</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v>
      </c>
      <c r="B60" s="86">
        <f>Declaration!D85</f>
        <v>0</v>
      </c>
      <c r="C60" s="86" t="str">
        <f t="shared" ca="1" si="10"/>
        <v>Complete</v>
      </c>
      <c r="D60" s="92" t="str">
        <f>IF(H60=1,"Click here to answer question (F)","")</f>
        <v/>
      </c>
      <c r="E60" s="19" t="s">
        <v>1261</v>
      </c>
      <c r="F60" s="91">
        <f>F$54</f>
        <v>0</v>
      </c>
      <c r="G60" s="67">
        <f>IF(B60=0,1,0)</f>
        <v>1</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v>
      </c>
      <c r="B62" s="86">
        <f>Declaration!D87</f>
        <v>0</v>
      </c>
      <c r="C62" s="86" t="str">
        <f t="shared" ref="C62:C68" ca="1" si="13">IF(H62=1,J62,I62)</f>
        <v>Complete</v>
      </c>
      <c r="D62" s="92" t="str">
        <f>IF(H62=1,"Click here to answer question (G)","")</f>
        <v/>
      </c>
      <c r="E62" s="19" t="s">
        <v>1261</v>
      </c>
      <c r="F62" s="91">
        <f>F$54</f>
        <v>0</v>
      </c>
      <c r="G62" s="67">
        <f>IF(B62=0,1,0)</f>
        <v>1</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v>
      </c>
      <c r="B63" s="86">
        <f>Declaration!D89</f>
        <v>0</v>
      </c>
      <c r="C63" s="86" t="str">
        <f t="shared" ca="1" si="13"/>
        <v>Complete</v>
      </c>
      <c r="D63" s="92" t="str">
        <f>IF(H63=1,"Click here to answer question (H)","")</f>
        <v/>
      </c>
      <c r="E63" s="19" t="s">
        <v>1261</v>
      </c>
      <c r="F63" s="91">
        <f>F$54</f>
        <v>0</v>
      </c>
      <c r="G63" s="67">
        <f>IF(B63=0,1,0)</f>
        <v>1</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0</v>
      </c>
      <c r="G66" s="67">
        <f>IF(AND(COUNTIF(SmelterIdetifiedForMetal,"Tin")&gt;0,COUNTIF('Smelter List'!AB$5:AB$2504,"Tin?*")&gt;0),0,1)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Arie</cp:lastModifiedBy>
  <cp:lastPrinted>2015-04-21T20:47:43Z</cp:lastPrinted>
  <dcterms:created xsi:type="dcterms:W3CDTF">2010-06-21T21:00:23Z</dcterms:created>
  <dcterms:modified xsi:type="dcterms:W3CDTF">2026-05-14T13:24:37Z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